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hda.org.za\FS\UserProfile\Flicker\Documents\Flickers Workings\CHDA\AFS\2021-2022\APR_Adjusted FINAL _ 2022\ADJUSTED APR_Version2_25Nov2022\"/>
    </mc:Choice>
  </mc:AlternateContent>
  <xr:revisionPtr revIDLastSave="0" documentId="13_ncr:1_{7BFE1237-0D03-4D98-B597-75E63E71AFEC}" xr6:coauthVersionLast="46" xr6:coauthVersionMax="47" xr10:uidLastSave="{00000000-0000-0000-0000-000000000000}"/>
  <bookViews>
    <workbookView xWindow="-120" yWindow="-120" windowWidth="20730" windowHeight="11160" firstSheet="1" activeTab="4" xr2:uid="{9AAADFFE-B165-40CB-9C55-48E16E921A33}"/>
  </bookViews>
  <sheets>
    <sheet name="Cover_APR" sheetId="12" r:id="rId1"/>
    <sheet name="StratSummary" sheetId="2" r:id="rId2"/>
    <sheet name="SG1-2022_Audited (2)" sheetId="17" r:id="rId3"/>
    <sheet name="SG2-2022_Audited (2)" sheetId="15" r:id="rId4"/>
    <sheet name="SG3-2022_Audited (2)" sheetId="16" r:id="rId5"/>
    <sheet name="SG4-2022_Audited (2)" sheetId="14" r:id="rId6"/>
    <sheet name="Summary_APR_2022" sheetId="11" r:id="rId7"/>
    <sheet name="Summary_APR_2021" sheetId="10" r:id="rId8"/>
    <sheet name="Summary_APR_2020" sheetId="13" r:id="rId9"/>
  </sheets>
  <externalReferences>
    <externalReference r:id="rId10"/>
    <externalReference r:id="rId11"/>
    <externalReference r:id="rId12"/>
    <externalReference r:id="rId13"/>
    <externalReference r:id="rId1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4" i="12" l="1"/>
  <c r="D8" i="11"/>
  <c r="F8" i="11"/>
  <c r="G8" i="11"/>
  <c r="AR10" i="17"/>
  <c r="W10" i="17"/>
  <c r="AR5" i="17"/>
  <c r="W5" i="17"/>
  <c r="AM7" i="15"/>
  <c r="AR5" i="15"/>
  <c r="AS5" i="15" s="1"/>
  <c r="W5" i="15"/>
  <c r="AS4" i="15"/>
  <c r="AM4" i="14"/>
  <c r="AM5" i="14"/>
  <c r="AK5" i="14"/>
  <c r="AK4" i="14"/>
  <c r="D6" i="11" l="1"/>
  <c r="E6" i="11"/>
  <c r="G10" i="11"/>
  <c r="AM29" i="17"/>
  <c r="AK17" i="17"/>
  <c r="AS10" i="17"/>
  <c r="AS4" i="17"/>
  <c r="AS5" i="17"/>
  <c r="V4" i="17"/>
  <c r="V5" i="17"/>
  <c r="S8" i="17"/>
  <c r="T8" i="17" s="1"/>
  <c r="U8" i="17" s="1"/>
  <c r="S9" i="17"/>
  <c r="T9" i="17" s="1"/>
  <c r="U9" i="17" s="1"/>
  <c r="AD9" i="17"/>
  <c r="AJ9" i="17" s="1"/>
  <c r="V10" i="17"/>
  <c r="AC10" i="17"/>
  <c r="AF10" i="17" s="1"/>
  <c r="AC11" i="17"/>
  <c r="AF11" i="17" s="1"/>
  <c r="N12" i="17"/>
  <c r="U12" i="17"/>
  <c r="AC12" i="17"/>
  <c r="AF12" i="17" s="1"/>
  <c r="AO15" i="17"/>
  <c r="AS17" i="17"/>
  <c r="N20" i="17"/>
  <c r="V21" i="17"/>
  <c r="W21" i="17"/>
  <c r="AS21" i="17" s="1"/>
  <c r="U22" i="17"/>
  <c r="AK22" i="17"/>
  <c r="AK26" i="17"/>
  <c r="M27" i="17"/>
  <c r="U27" i="17" s="1"/>
  <c r="AH28" i="17"/>
  <c r="V29" i="17"/>
  <c r="W29" i="17"/>
  <c r="AE29" i="17"/>
  <c r="AH29" i="17"/>
  <c r="AK29" i="17"/>
  <c r="AS29" i="17"/>
  <c r="F30" i="17"/>
  <c r="L30" i="17"/>
  <c r="V30" i="17"/>
  <c r="W30" i="17" l="1"/>
  <c r="AS22" i="16"/>
  <c r="AB9" i="16" l="1"/>
  <c r="AM8" i="16"/>
  <c r="AK8" i="16"/>
  <c r="AM4" i="16"/>
  <c r="AH4" i="16"/>
  <c r="AK4" i="16"/>
  <c r="AB4" i="16"/>
  <c r="AE4" i="16"/>
  <c r="AC4" i="16"/>
  <c r="AF4" i="16" s="1"/>
  <c r="AI4" i="16" s="1"/>
  <c r="AH8" i="16"/>
  <c r="AE8" i="16"/>
  <c r="AB8" i="16"/>
  <c r="W28" i="16"/>
  <c r="L28" i="16"/>
  <c r="F28" i="16"/>
  <c r="N27" i="16"/>
  <c r="AR26" i="16"/>
  <c r="AS26" i="16" s="1"/>
  <c r="AD26" i="16"/>
  <c r="AG26" i="16" s="1"/>
  <c r="AS25" i="16"/>
  <c r="AC25" i="16"/>
  <c r="AC24" i="16" s="1"/>
  <c r="AF24" i="16" s="1"/>
  <c r="Z25" i="16"/>
  <c r="Z24" i="16"/>
  <c r="AS23" i="16"/>
  <c r="AK23" i="16"/>
  <c r="AH23" i="16"/>
  <c r="AE23" i="16"/>
  <c r="AB23" i="16"/>
  <c r="S22" i="16"/>
  <c r="T22" i="16" s="1"/>
  <c r="U22" i="16" s="1"/>
  <c r="AK21" i="16"/>
  <c r="T21" i="16"/>
  <c r="AS20" i="16"/>
  <c r="AM20" i="16"/>
  <c r="S20" i="16"/>
  <c r="T20" i="16" s="1"/>
  <c r="N20" i="16"/>
  <c r="U19" i="16"/>
  <c r="U18" i="16"/>
  <c r="AI17" i="16"/>
  <c r="U17" i="16"/>
  <c r="Z16" i="16"/>
  <c r="Z17" i="16" s="1"/>
  <c r="Z18" i="16" s="1"/>
  <c r="U16" i="16"/>
  <c r="AS12" i="16"/>
  <c r="AS11" i="16"/>
  <c r="AR11" i="16"/>
  <c r="AR10" i="16"/>
  <c r="AS10" i="16" s="1"/>
  <c r="N10" i="16"/>
  <c r="AS9" i="16"/>
  <c r="V9" i="16"/>
  <c r="R9" i="16"/>
  <c r="S9" i="16" s="1"/>
  <c r="T9" i="16" s="1"/>
  <c r="U9" i="16" s="1"/>
  <c r="R8" i="16"/>
  <c r="S8" i="16" s="1"/>
  <c r="T8" i="16" s="1"/>
  <c r="U8" i="16" s="1"/>
  <c r="N8" i="16"/>
  <c r="AM7" i="16"/>
  <c r="AF7" i="16"/>
  <c r="U7" i="16"/>
  <c r="N7" i="16"/>
  <c r="AS6" i="16"/>
  <c r="AM6" i="16"/>
  <c r="AH6" i="16"/>
  <c r="AE6" i="16"/>
  <c r="AB6" i="16"/>
  <c r="S6" i="16"/>
  <c r="T6" i="16" s="1"/>
  <c r="U6" i="16" s="1"/>
  <c r="N6" i="16"/>
  <c r="AD5" i="16"/>
  <c r="AG5" i="16" s="1"/>
  <c r="AS4" i="16"/>
  <c r="V4" i="16"/>
  <c r="V28" i="16" s="1"/>
  <c r="S4" i="16"/>
  <c r="T4" i="16" s="1"/>
  <c r="U4" i="16" s="1"/>
  <c r="AC16" i="16" l="1"/>
  <c r="AC17" i="16" s="1"/>
  <c r="Z19" i="16"/>
  <c r="Z21" i="16" s="1"/>
  <c r="AC18" i="16"/>
  <c r="AF16" i="16"/>
  <c r="AF17" i="16" s="1"/>
  <c r="AF18" i="16" l="1"/>
  <c r="AF19" i="16" s="1"/>
  <c r="AC19" i="16"/>
  <c r="AC21" i="16" s="1"/>
  <c r="W8" i="15" l="1"/>
  <c r="L8" i="15"/>
  <c r="F8" i="15"/>
  <c r="X7" i="15"/>
  <c r="U7" i="15"/>
  <c r="AS6" i="15"/>
  <c r="U6" i="15"/>
  <c r="N6" i="15"/>
  <c r="AE5" i="15"/>
  <c r="AB5" i="15"/>
  <c r="V5" i="15"/>
  <c r="V8" i="15" s="1"/>
  <c r="AM4" i="15"/>
  <c r="AE4" i="15"/>
  <c r="AC4" i="15"/>
  <c r="AB4" i="15"/>
  <c r="S4" i="15"/>
  <c r="T4" i="15" s="1"/>
  <c r="X3" i="15"/>
  <c r="W3" i="15"/>
  <c r="V3" i="15"/>
  <c r="H10" i="11"/>
  <c r="W6" i="14"/>
  <c r="V6" i="14"/>
  <c r="L6" i="14"/>
  <c r="F6" i="14"/>
  <c r="U5" i="14"/>
  <c r="N5" i="14"/>
  <c r="AS4" i="14"/>
  <c r="U4" i="14"/>
  <c r="Q24" i="13"/>
  <c r="P24" i="13"/>
  <c r="O24" i="13"/>
  <c r="Q22" i="13"/>
  <c r="P22" i="13"/>
  <c r="O22" i="13"/>
  <c r="F20" i="13"/>
  <c r="F19" i="13"/>
  <c r="F18" i="13"/>
  <c r="F17" i="13"/>
  <c r="G11" i="13"/>
  <c r="F11" i="13"/>
  <c r="E11" i="13"/>
  <c r="D11" i="13"/>
  <c r="B11" i="13"/>
  <c r="H10" i="13"/>
  <c r="C10" i="13"/>
  <c r="Q26" i="13" s="1"/>
  <c r="A10" i="13"/>
  <c r="N26" i="13" s="1"/>
  <c r="H9" i="13"/>
  <c r="C9" i="13"/>
  <c r="Q25" i="13" s="1"/>
  <c r="A9" i="13"/>
  <c r="N25" i="13" s="1"/>
  <c r="H8" i="13"/>
  <c r="A8" i="13"/>
  <c r="N24" i="13" s="1"/>
  <c r="H7" i="13"/>
  <c r="C7" i="13"/>
  <c r="P23" i="13" s="1"/>
  <c r="A7" i="13"/>
  <c r="N23" i="13" s="1"/>
  <c r="H6" i="13"/>
  <c r="A6" i="13"/>
  <c r="N22" i="13" s="1"/>
  <c r="H11" i="13" l="1"/>
  <c r="Q23" i="13"/>
  <c r="O25" i="13"/>
  <c r="O26" i="13"/>
  <c r="O23" i="13"/>
  <c r="P25" i="13"/>
  <c r="P26" i="13"/>
  <c r="C11" i="13"/>
  <c r="D14" i="13" s="1"/>
  <c r="E13" i="13" l="1"/>
  <c r="G19" i="13" s="1"/>
  <c r="G24" i="13"/>
  <c r="D13" i="13"/>
  <c r="F13" i="13"/>
  <c r="G20" i="13" s="1"/>
  <c r="G18" i="13" l="1"/>
  <c r="G1" i="13"/>
  <c r="F25" i="13"/>
  <c r="H23" i="13" s="1"/>
  <c r="H24" i="13" l="1"/>
  <c r="D21" i="12"/>
  <c r="D20" i="12"/>
  <c r="C32" i="12" s="1"/>
  <c r="E13" i="12"/>
  <c r="D13" i="12"/>
  <c r="C13" i="12"/>
  <c r="H25" i="11"/>
  <c r="G25" i="11"/>
  <c r="H24" i="11"/>
  <c r="H23" i="11"/>
  <c r="G24" i="11"/>
  <c r="G23" i="11"/>
  <c r="C9" i="11"/>
  <c r="C8" i="11"/>
  <c r="O19" i="11" s="1"/>
  <c r="C7" i="11"/>
  <c r="C6" i="11"/>
  <c r="O17" i="11" s="1"/>
  <c r="Q20" i="11"/>
  <c r="P20" i="11"/>
  <c r="O20" i="11"/>
  <c r="N20" i="11"/>
  <c r="Q18" i="11"/>
  <c r="P18" i="11"/>
  <c r="O18" i="11"/>
  <c r="Q17" i="11"/>
  <c r="P17" i="11"/>
  <c r="F17" i="11"/>
  <c r="F10" i="11"/>
  <c r="C36" i="12" s="1"/>
  <c r="E10" i="11"/>
  <c r="C35" i="12" s="1"/>
  <c r="D10" i="11"/>
  <c r="C34" i="12" s="1"/>
  <c r="H9" i="11"/>
  <c r="B8" i="11"/>
  <c r="N19" i="11" s="1"/>
  <c r="H7" i="11"/>
  <c r="B7" i="11"/>
  <c r="N18" i="11" s="1"/>
  <c r="H6" i="11"/>
  <c r="B6" i="11"/>
  <c r="N17" i="11" s="1"/>
  <c r="Q20" i="10"/>
  <c r="P20" i="10"/>
  <c r="O20" i="10"/>
  <c r="N20" i="10"/>
  <c r="Q19" i="10"/>
  <c r="P19" i="10"/>
  <c r="O19" i="10"/>
  <c r="Q18" i="10"/>
  <c r="P18" i="10"/>
  <c r="O18" i="10"/>
  <c r="Q17" i="10"/>
  <c r="P17" i="10"/>
  <c r="O17" i="10"/>
  <c r="F17" i="10"/>
  <c r="F10" i="10"/>
  <c r="F12" i="10" s="1"/>
  <c r="G19" i="10" s="1"/>
  <c r="E10" i="10"/>
  <c r="E12" i="10" s="1"/>
  <c r="G18" i="10" s="1"/>
  <c r="D10" i="10"/>
  <c r="D12" i="10" s="1"/>
  <c r="C10" i="10"/>
  <c r="H24" i="10" s="1"/>
  <c r="H9" i="10"/>
  <c r="H8" i="10"/>
  <c r="B8" i="10"/>
  <c r="N19" i="10" s="1"/>
  <c r="H7" i="10"/>
  <c r="B7" i="10"/>
  <c r="N18" i="10" s="1"/>
  <c r="H6" i="10"/>
  <c r="B6" i="10"/>
  <c r="N17" i="10" s="1"/>
  <c r="D35" i="12" l="1"/>
  <c r="D36" i="12"/>
  <c r="D34" i="12"/>
  <c r="D33" i="12"/>
  <c r="C10" i="11"/>
  <c r="Q19" i="11"/>
  <c r="F12" i="11"/>
  <c r="G19" i="11" s="1"/>
  <c r="P19" i="11"/>
  <c r="H8" i="11"/>
  <c r="E12" i="11"/>
  <c r="G18" i="11" s="1"/>
  <c r="D13" i="10"/>
  <c r="G17" i="10"/>
  <c r="H10" i="10"/>
  <c r="H23" i="10"/>
  <c r="D12" i="11" l="1"/>
  <c r="G17" i="11" s="1"/>
  <c r="D13"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tc={0BA988F4-D487-484A-91F8-0AFDAFFCA71A}</author>
  </authors>
  <commentList>
    <comment ref="M4" authorId="0" shapeId="0" xr:uid="{0BA988F4-D487-484A-91F8-0AFDAFFCA71A}">
      <text>
        <t>[Threaded comment]
Your version of Excel allows you to read this threaded comment; however, any edits to it will get removed if the file is opened in a newer version of Excel. Learn more: https://go.microsoft.com/fwlink/?linkid=870924
Comment:
    Post-audit action plan
- principal-agent
- vat
- section32 writeoffs
-BTO- budget and unauthorised
-PPE QMC</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tc={F9188BCF-AD56-4305-8188-6747700D9073}</author>
    <author>tc={A2E4E466-C86D-4765-8E04-BB4BD85EE9CF}</author>
    <author>tc={60FCEC17-2356-4704-9C24-D1E043545C73}</author>
  </authors>
  <commentList>
    <comment ref="M5" authorId="0" shapeId="0" xr:uid="{F9188BCF-AD56-4305-8188-6747700D9073}">
      <text>
        <t>[Threaded comment]
Your version of Excel allows you to read this threaded comment; however, any edits to it will get removed if the file is opened in a newer version of Excel. Learn more: https://go.microsoft.com/fwlink/?linkid=870924
Comment:
    Link bursary or skills initiatives to job creation/ work placement/ conseqiuencs in place for poor academic performance?</t>
      </text>
    </comment>
    <comment ref="M17" authorId="1" shapeId="0" xr:uid="{A2E4E466-C86D-4765-8E04-BB4BD85EE9CF}">
      <text>
        <t>[Threaded comment]
Your version of Excel allows you to read this threaded comment; however, any edits to it will get removed if the file is opened in a newer version of Excel. Learn more: https://go.microsoft.com/fwlink/?linkid=870924
Comment:
    Link to job creation / impact reporting?</t>
      </text>
    </comment>
    <comment ref="M18" authorId="2" shapeId="0" xr:uid="{60FCEC17-2356-4704-9C24-D1E043545C73}">
      <text>
        <t>[Threaded comment]
Your version of Excel allows you to read this threaded comment; however, any edits to it will get removed if the file is opened in a newer version of Excel. Learn more: https://go.microsoft.com/fwlink/?linkid=870924
Comment:
    ICT job creation?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tc={C2E3D4F8-608C-4B1E-863E-6C0506B2FCFE}</author>
    <author>tc={76AD39A1-EF70-44D9-8DE4-341D6AEB7553}</author>
  </authors>
  <commentList>
    <comment ref="M4" authorId="0" shapeId="0" xr:uid="{C2E3D4F8-608C-4B1E-863E-6C0506B2FCFE}">
      <text>
        <t>[Threaded comment]
Your version of Excel allows you to read this threaded comment; however, any edits to it will get removed if the file is opened in a newer version of Excel. Learn more: https://go.microsoft.com/fwlink/?linkid=870924
Comment:
    Consider linking to SG1 under own revenue generation?</t>
      </text>
    </comment>
    <comment ref="M5" authorId="1" shapeId="0" xr:uid="{76AD39A1-EF70-44D9-8DE4-341D6AEB7553}">
      <text>
        <t>[Threaded comment]
Your version of Excel allows you to read this threaded comment; however, any edits to it will get removed if the file is opened in a newer version of Excel. Learn more: https://go.microsoft.com/fwlink/?linkid=870924
Comment:
    ARC: Amend indicator to number of infrastructure projects vs Rand-value
Link to actual number of projects approved for implementation and abeing implemented - link rand value to project budgets</t>
      </text>
    </comment>
  </commentList>
</comments>
</file>

<file path=xl/sharedStrings.xml><?xml version="1.0" encoding="utf-8"?>
<sst xmlns="http://schemas.openxmlformats.org/spreadsheetml/2006/main" count="2398" uniqueCount="1026">
  <si>
    <t>12 – MONTH ANNUAL PERFORMANCE PLAN (ADJUSTED_2021-2022)</t>
  </si>
  <si>
    <t>MANDATE OF CHDA</t>
  </si>
  <si>
    <t>VISION</t>
  </si>
  <si>
    <t>An economic growth Catalyst for the Chris Hani District</t>
  </si>
  <si>
    <t>MISSION</t>
  </si>
  <si>
    <t>VALUES</t>
  </si>
  <si>
    <t>GOALS / OBJECTIVES</t>
  </si>
  <si>
    <t xml:space="preserve">OUTCOMES </t>
  </si>
  <si>
    <t>OWNER</t>
  </si>
  <si>
    <t xml:space="preserve">5-Year Target </t>
  </si>
  <si>
    <t>BASELINE (2021)</t>
  </si>
  <si>
    <t>REPORTING</t>
  </si>
  <si>
    <t>FREQUENCY</t>
  </si>
  <si>
    <t>QUARTER1/ 30SEP2021</t>
  </si>
  <si>
    <t>a</t>
  </si>
  <si>
    <t>No of unqualified audit reports</t>
  </si>
  <si>
    <t>CEO</t>
  </si>
  <si>
    <t xml:space="preserve">5 unqualified audits </t>
  </si>
  <si>
    <t xml:space="preserve">1 unqualified audit opinion issued for 2021  </t>
  </si>
  <si>
    <t>Periodic</t>
  </si>
  <si>
    <t>Annual</t>
  </si>
  <si>
    <t>31/01/2022</t>
  </si>
  <si>
    <t>2021 AFS and APR submitted to AGSA no later than 31Aug2021</t>
  </si>
  <si>
    <t>n/a</t>
  </si>
  <si>
    <t xml:space="preserve">2021 audit and management report finalised </t>
  </si>
  <si>
    <t xml:space="preserve">Percentage board and committee resolutions actioned  </t>
  </si>
  <si>
    <t>100% resolutions actioned</t>
  </si>
  <si>
    <t>&lt;100%</t>
  </si>
  <si>
    <t>100% implementation of resolutions from committees and board</t>
  </si>
  <si>
    <t>Cumulative</t>
  </si>
  <si>
    <t>Quarterly</t>
  </si>
  <si>
    <t>Percentage board and committee calendar implemented</t>
  </si>
  <si>
    <t>100% calendar implemented</t>
  </si>
  <si>
    <t>Percentage implementation of approved compliance register</t>
  </si>
  <si>
    <t>100% compliance register implemented</t>
  </si>
  <si>
    <t>100% implementation of approved compliance register</t>
  </si>
  <si>
    <t>1 strategic and operational risk register developed</t>
  </si>
  <si>
    <t>100% risk-based IA plan implemented</t>
  </si>
  <si>
    <t xml:space="preserve">No of strategic planning and strategy reviews conducted </t>
  </si>
  <si>
    <t>5 annual strategic planning reviews conducted</t>
  </si>
  <si>
    <t>Nil</t>
  </si>
  <si>
    <t xml:space="preserve">1 annual strategic planning and review event held </t>
  </si>
  <si>
    <t>No of annual operating business plans developed and implemented (APP’s)</t>
  </si>
  <si>
    <t>5 annual operating business plan / APP’s developed, approved and reviewed annually</t>
  </si>
  <si>
    <t>1 APP developed and approved</t>
  </si>
  <si>
    <t>Bi-annual</t>
  </si>
  <si>
    <t>Percentage of ICT action plan items implemented </t>
  </si>
  <si>
    <t>100% ICT strategy action plan items completed</t>
  </si>
  <si>
    <t>Rand value of own revenue generated</t>
  </si>
  <si>
    <t>CFO</t>
  </si>
  <si>
    <t>R6million, with 10% annual increase</t>
  </si>
  <si>
    <t xml:space="preserve">Rand value of own revenue generated </t>
  </si>
  <si>
    <t>Rand value of unauthorised, fruitless and wasteful and irregular expenditure incurred</t>
  </si>
  <si>
    <t>Nil unauthorised, fruitless and wasteful and irregular expenditure incurred per annum</t>
  </si>
  <si>
    <t>Nil unauthorised expenditure incurred</t>
  </si>
  <si>
    <t>Nil fruitless and wasteful expenditure incurred</t>
  </si>
  <si>
    <t>Nil irregular expenditure incurred</t>
  </si>
  <si>
    <t>No of performance and monitoring and evaluation reports developed </t>
  </si>
  <si>
    <t xml:space="preserve">5 performance reports per annum </t>
  </si>
  <si>
    <t>No of board performance evaluations conducted</t>
  </si>
  <si>
    <t xml:space="preserve">No of staff performance reviews conducted </t>
  </si>
  <si>
    <t>4 quarterly performance assessments per annum</t>
  </si>
  <si>
    <t>2 staff performance reviews conducted and presented to HRRE</t>
  </si>
  <si>
    <t xml:space="preserve">Percentage implementation of approved HRM strategy </t>
  </si>
  <si>
    <t>b</t>
  </si>
  <si>
    <t>c</t>
  </si>
  <si>
    <t>Rand value of funding secured to implement development projects</t>
  </si>
  <si>
    <t>EMO</t>
  </si>
  <si>
    <t>R150 million</t>
  </si>
  <si>
    <t>Rand value of  high value investments in development corridors</t>
  </si>
  <si>
    <t>R25m with 10% annual increase</t>
  </si>
  <si>
    <t>R27.5 million facilitated in investments in development corridors</t>
  </si>
  <si>
    <t>Rand value of offtakes secured on behalf of local commercial enterprises located in development corridors</t>
  </si>
  <si>
    <t>R2m per b/line with 10% annual increase</t>
  </si>
  <si>
    <t>R2.2 million facilitated in offtakes that benefit local enterprises</t>
  </si>
  <si>
    <t>d</t>
  </si>
  <si>
    <t>Rand value of own revenue realised from agency implementation fee</t>
  </si>
  <si>
    <t>R 15 million</t>
  </si>
  <si>
    <t xml:space="preserve">1.1  Unqualified audit opinion </t>
  </si>
  <si>
    <t>1.2  Functional oversight and governance structures</t>
  </si>
  <si>
    <t>a.	Realisation of Organisational Sustainability and Funding Opportunities to Enable Development Mandate
b.	Facilitation of Investment and Trade Promotion in District Corridors
c.	Facilitation of Economic Development in District Corridors
d.	Support Economic Enabling Infrastructure Development </t>
  </si>
  <si>
    <t>SG1</t>
  </si>
  <si>
    <t>SG2</t>
  </si>
  <si>
    <t>SG3</t>
  </si>
  <si>
    <t>SG4</t>
  </si>
  <si>
    <t xml:space="preserve">STRATEGIC SUMMARY </t>
  </si>
  <si>
    <t>ANNUAL PERFORMANCE PLAN</t>
  </si>
  <si>
    <t>Indicators</t>
  </si>
  <si>
    <t>Budget</t>
  </si>
  <si>
    <t>To unlock the economic potential of the district through investment facilitation for corridor development</t>
  </si>
  <si>
    <t>SG 1:
To Develop a Proficient, Viable and Self – Sustainable Entity by 2026</t>
  </si>
  <si>
    <t>Good Corporate Governance</t>
  </si>
  <si>
    <t>REF TO CHDA STRATEGIC MANDATE</t>
  </si>
  <si>
    <t>STRATEGIC LEVEL INDICATOR</t>
  </si>
  <si>
    <t>STRATEGIC LEVEL OUTPUTS</t>
  </si>
  <si>
    <t xml:space="preserve">STRATEGIC ALIGNMENT </t>
  </si>
  <si>
    <t>APP TARGET
2021-2022</t>
  </si>
  <si>
    <t>APP INDICATOR 2021-2022</t>
  </si>
  <si>
    <t>BUDGET ALIGNMENT 
2021-2022</t>
  </si>
  <si>
    <t>QUARTER3/ 30MAR2022</t>
  </si>
  <si>
    <t>QUARTER2/ 31DEC2021</t>
  </si>
  <si>
    <t>QUARTER4/ 30JUN2022</t>
  </si>
  <si>
    <t>VERIFICATION METHOD (POE)</t>
  </si>
  <si>
    <t>100% of committee and board resolutions implemented</t>
  </si>
  <si>
    <t xml:space="preserve">100% board sittings held </t>
  </si>
  <si>
    <t>1 board sitting held for the quarter</t>
  </si>
  <si>
    <t xml:space="preserve">Board and committee minutes
Board and committee resolutions register </t>
  </si>
  <si>
    <t xml:space="preserve">100% governance committee sittings held </t>
  </si>
  <si>
    <t>1 govcom sitting held for the quarter</t>
  </si>
  <si>
    <t>100% audit and risk committee sittings held</t>
  </si>
  <si>
    <t>1 ARC sitting held for the quarter</t>
  </si>
  <si>
    <t>100% finance/inv committee sittings held</t>
  </si>
  <si>
    <t xml:space="preserve">100% HR/remuneration sittings held </t>
  </si>
  <si>
    <t>1 fincom sitting held for the quarter</t>
  </si>
  <si>
    <t>1 HRRE sitting held for the quarter</t>
  </si>
  <si>
    <t xml:space="preserve">100% compliance register implemented </t>
  </si>
  <si>
    <t xml:space="preserve">Compliance register </t>
  </si>
  <si>
    <t>Board and committee resolutions register(s)</t>
  </si>
  <si>
    <t>Percentage of risk management action plan items implemented </t>
  </si>
  <si>
    <t>Qualified audit opinion</t>
  </si>
  <si>
    <t xml:space="preserve">Number of risk management action plan items completed </t>
  </si>
  <si>
    <t>1 quarterly risk assessment conducted</t>
  </si>
  <si>
    <t>n/a - internally funded from salaries budget</t>
  </si>
  <si>
    <t>Number of risk management action plan items completed </t>
  </si>
  <si>
    <t xml:space="preserve">1 annual risk assessment workshop held
</t>
  </si>
  <si>
    <t>4 annual risk assessments completed</t>
  </si>
  <si>
    <t>100% implementation of risk management action plans</t>
  </si>
  <si>
    <t>Number of risk management action plan items completed</t>
  </si>
  <si>
    <t>Quarterly risk assessment reports</t>
  </si>
  <si>
    <t>Audit fees (internal)</t>
  </si>
  <si>
    <t>100% strategic risk action plan items completed</t>
  </si>
  <si>
    <t xml:space="preserve">3 risk management action plans  developed </t>
  </si>
  <si>
    <t>100% post-audit action plan items completed</t>
  </si>
  <si>
    <t>ANNUAL PERFROMANCE PLAN (APP) 2021-2022</t>
  </si>
  <si>
    <t>1.1.1</t>
  </si>
  <si>
    <t>1.2.1</t>
  </si>
  <si>
    <t>1.2.2</t>
  </si>
  <si>
    <t>1.2.3</t>
  </si>
  <si>
    <t>1.2.4</t>
  </si>
  <si>
    <t>1.2.5</t>
  </si>
  <si>
    <t>1.2.6</t>
  </si>
  <si>
    <t>1.3.1</t>
  </si>
  <si>
    <t>1.3.2</t>
  </si>
  <si>
    <t>1.3.3</t>
  </si>
  <si>
    <t>1.3.4</t>
  </si>
  <si>
    <t>1.3.5</t>
  </si>
  <si>
    <t xml:space="preserve">Strategic risk register and action plan
Post Audit action plan
Internal audit action plan </t>
  </si>
  <si>
    <t>Quarterly risk action plan progress reports</t>
  </si>
  <si>
    <t>Quarterly post-audit action plan progress reports</t>
  </si>
  <si>
    <t>Quarterly IA progress reports</t>
  </si>
  <si>
    <t xml:space="preserve">1.3
Effective risk management </t>
  </si>
  <si>
    <t>1.4  
Effective strategic and business planning</t>
  </si>
  <si>
    <t>1.4.1</t>
  </si>
  <si>
    <t>Strategic planning expense</t>
  </si>
  <si>
    <t>5-year strategic planning document</t>
  </si>
  <si>
    <t>1.4.2</t>
  </si>
  <si>
    <t>No of annual performance plans developed and implemented (APP’s)</t>
  </si>
  <si>
    <t>1 APP developed , approved and implemented</t>
  </si>
  <si>
    <t>1 adjusted APP developed and approved</t>
  </si>
  <si>
    <t>1 approved APP implemented</t>
  </si>
  <si>
    <t>APP 2021-2022
APR 2021-2022</t>
  </si>
  <si>
    <t>1.5 
Effective policy framework</t>
  </si>
  <si>
    <t>100% organisational policies reviewed</t>
  </si>
  <si>
    <t>Percentage of organisational policy reviews and  updates conducted</t>
  </si>
  <si>
    <t xml:space="preserve">100% CHDA policies reviewed </t>
  </si>
  <si>
    <t>1.5.1</t>
  </si>
  <si>
    <t>1 policy review action plan developed</t>
  </si>
  <si>
    <t>25% review of agency policy review action plan</t>
  </si>
  <si>
    <t>50% review of agency policy review action plan</t>
  </si>
  <si>
    <t>100% review of agency policy review action plan</t>
  </si>
  <si>
    <t>Policy review action register and status report</t>
  </si>
  <si>
    <t>1.6 
Effective governance of ICT</t>
  </si>
  <si>
    <t xml:space="preserve">100% ICT action plan implemented </t>
  </si>
  <si>
    <t xml:space="preserve">1 ICT strategy developed </t>
  </si>
  <si>
    <t>1.2.7</t>
  </si>
  <si>
    <t>1.2.8</t>
  </si>
  <si>
    <t>1 ethics reporting framework developed</t>
  </si>
  <si>
    <t>Number of ethics reporting documents developed</t>
  </si>
  <si>
    <t xml:space="preserve">1 ethics reporting framework document developed </t>
  </si>
  <si>
    <t xml:space="preserve">Ethics reporting framework document </t>
  </si>
  <si>
    <t>2.1 
Own revenue generation</t>
  </si>
  <si>
    <t>2.1.1</t>
  </si>
  <si>
    <t>2.2 
Effective financial and SCM management</t>
  </si>
  <si>
    <t>IMPLEM.
AGENT</t>
  </si>
  <si>
    <t>EMO
CFO</t>
  </si>
  <si>
    <t>STRAT/FM</t>
  </si>
  <si>
    <t>1.6.1</t>
  </si>
  <si>
    <t>2.1.2</t>
  </si>
  <si>
    <t>R4.2m</t>
  </si>
  <si>
    <t>2.1.3</t>
  </si>
  <si>
    <t>ICT strategy and quarterly ICT reports</t>
  </si>
  <si>
    <t>Quarterly management accounts
AFS 2022</t>
  </si>
  <si>
    <t>Quarterly SCM reports
AFS 2022</t>
  </si>
  <si>
    <t>R0 unauthorised expenditure incurred</t>
  </si>
  <si>
    <t>R0 fruitless and wasteful expenditure incurred</t>
  </si>
  <si>
    <t xml:space="preserve">R0 irregular expenditure incurred </t>
  </si>
  <si>
    <t>3.1
Improved organisational performance</t>
  </si>
  <si>
    <t>3.1.1</t>
  </si>
  <si>
    <t>5 performance and monitoring and evaluation reports developed</t>
  </si>
  <si>
    <t>Q1 performance report finalised and audited</t>
  </si>
  <si>
    <t>Q2 performance report finalised and audited</t>
  </si>
  <si>
    <t xml:space="preserve">APR 2021 finalised and audited
</t>
  </si>
  <si>
    <t>Quarterly performance reports
Annual APR</t>
  </si>
  <si>
    <t>BOARD</t>
  </si>
  <si>
    <t>COSEC</t>
  </si>
  <si>
    <t>1 annual board perfrmance evaluation conducted</t>
  </si>
  <si>
    <t>3.1.2</t>
  </si>
  <si>
    <t>n/a - internally funded from cosec and board fees budget</t>
  </si>
  <si>
    <t>Annual board performance evaluation report</t>
  </si>
  <si>
    <t>3.1.3</t>
  </si>
  <si>
    <t>2020 audited PMS report finalised
2021 audited PMS report finalised
2022 midyear PMS report finalised</t>
  </si>
  <si>
    <t>Perfrmance assessment reports</t>
  </si>
  <si>
    <t xml:space="preserve">4.1 
Effective strategic HRM </t>
  </si>
  <si>
    <t>1 HRM plan developed for 2022</t>
  </si>
  <si>
    <t>HRM plan and quarterly reports</t>
  </si>
  <si>
    <t>4.1.1</t>
  </si>
  <si>
    <t>SG 2:
To Mobilise Funding and Facilitate Investment Promotion into the District by 2026</t>
  </si>
  <si>
    <t>Funding, Investment Facilitation and Trade Promotion</t>
  </si>
  <si>
    <t>Financial Viability</t>
  </si>
  <si>
    <t xml:space="preserve">Improved Organisational Perfromance </t>
  </si>
  <si>
    <t>Strategic HRM</t>
  </si>
  <si>
    <t>5.1.1</t>
  </si>
  <si>
    <t>CHDM-Nat Treasury Critical Infrastructure Funding Applications</t>
  </si>
  <si>
    <t>5.1 
Funding mobilisation</t>
  </si>
  <si>
    <t>5.2 
Investment facilitation</t>
  </si>
  <si>
    <t>5.3 
Trade promotion, market linkages and offtakes facilitated</t>
  </si>
  <si>
    <t>5.1.2</t>
  </si>
  <si>
    <t>CHDM water and sanitation infrastructure development support</t>
  </si>
  <si>
    <t xml:space="preserve">SG 4:
To Support Economic Development Infrastructure Development by 2026 </t>
  </si>
  <si>
    <t>10.1.1</t>
  </si>
  <si>
    <t>10.1.2</t>
  </si>
  <si>
    <t>ANNUAL PERFORMANCE PLAN (APP) 2021-2022</t>
  </si>
  <si>
    <t>Initial</t>
  </si>
  <si>
    <t>Adjusted</t>
  </si>
  <si>
    <t>Votes Affected</t>
  </si>
  <si>
    <t xml:space="preserve">Board fees
Board travel
Board training
Board tools
</t>
  </si>
  <si>
    <t>Company secretariat fees
Legal expenses</t>
  </si>
  <si>
    <t>ICT/systems and licesning votes</t>
  </si>
  <si>
    <t>STRAT/FM
IA</t>
  </si>
  <si>
    <t>IA</t>
  </si>
  <si>
    <t>&lt;R200 000</t>
  </si>
  <si>
    <t>R200000 own revenue generated from administrative functions</t>
  </si>
  <si>
    <t xml:space="preserve">1 quarterly risk assessment conducted 
</t>
  </si>
  <si>
    <t>1 post-audit action plan developed for MFMA 2021</t>
  </si>
  <si>
    <t>1 annual strategic planning and review event held
1 strategy document developed and approved</t>
  </si>
  <si>
    <t>100% implementation of HRM plan</t>
  </si>
  <si>
    <t>100% HRM plan implementation</t>
  </si>
  <si>
    <t>25% HRM plan implemented for 2022</t>
  </si>
  <si>
    <t>SCM admin costs</t>
  </si>
  <si>
    <t>Employee costs budget
Recruitment costs
Relocation of staff 
Staff training</t>
  </si>
  <si>
    <t>Strategic projects</t>
  </si>
  <si>
    <t>2021 annual report finalised and published</t>
  </si>
  <si>
    <t>Audit fees (external)
Annual report</t>
  </si>
  <si>
    <t>Proof of AGSA submission/ acknowledgement of receipt 
Audit report (AG)
Annual report 2021</t>
  </si>
  <si>
    <t>10.1 
Effective implementation of water/sanitation infrastructure support programme</t>
  </si>
  <si>
    <t>PMU
CFO</t>
  </si>
  <si>
    <t>R2.4m</t>
  </si>
  <si>
    <t>R6.5m million own revenue realised from CHDM infrastructure implementation support</t>
  </si>
  <si>
    <t>R69 million in infrastructure project implementation incurred on CHDM infrastructure implementation support</t>
  </si>
  <si>
    <t>R29.5m</t>
  </si>
  <si>
    <t>Rand value of capital expenditure incurred in  CHDM infrastructure project implementation</t>
  </si>
  <si>
    <t>R4.069m</t>
  </si>
  <si>
    <t>3 funding applications submitted in the quarter</t>
  </si>
  <si>
    <t>R25 million raised to support LED project implementation</t>
  </si>
  <si>
    <t>3 funding applications submitted in the quarter
R25m raised to support LED project implementation</t>
  </si>
  <si>
    <t>EMO
CIO</t>
  </si>
  <si>
    <t>R25m</t>
  </si>
  <si>
    <t>1 investor promotion event held</t>
  </si>
  <si>
    <t xml:space="preserve">Stakeholder engagement
Brand promotion
</t>
  </si>
  <si>
    <t xml:space="preserve">Expenditure records and POE
Critical infrastructure application packs
Funding agreements </t>
  </si>
  <si>
    <t>Event attendance registers and closeout reports
Branding and communications strategy and POE
Investment strategy and POE</t>
  </si>
  <si>
    <t>R1.87m</t>
  </si>
  <si>
    <t xml:space="preserve">1 x market access and  commercialisation strategy developed </t>
  </si>
  <si>
    <t>Offtake agreements or proof of market linkages for local producers</t>
  </si>
  <si>
    <t>5.1.3</t>
  </si>
  <si>
    <t>APP TARGET DUE DATE 2021-2022</t>
  </si>
  <si>
    <t>Not Ach
Not Cfw</t>
  </si>
  <si>
    <t>Non App/ New
(Incl due to non-sitting challenge)</t>
  </si>
  <si>
    <t>Non App/ New
(Incl to incr follow through)</t>
  </si>
  <si>
    <t>Non App/ New
(Incl to incr compl)</t>
  </si>
  <si>
    <t>Non App/ New
(Incl to meet HRRemco)</t>
  </si>
  <si>
    <t>Ach
Ongoing</t>
  </si>
  <si>
    <t>Part Ach
Cfwd</t>
  </si>
  <si>
    <t xml:space="preserve">1 risk assessment workshop held for 2022
1 internal audit action plan developed for 2022
</t>
  </si>
  <si>
    <t>Non App/ New
(Incl to incr follow through due to current challenge of no APP)</t>
  </si>
  <si>
    <t>Not Ach
Cfwd</t>
  </si>
  <si>
    <t>Non App/ New
(Incl to address audit issues)</t>
  </si>
  <si>
    <t>Ach
Ongoing
(Challenge with APP in 2022)</t>
  </si>
  <si>
    <t>Non APP/ New</t>
  </si>
  <si>
    <t>Non App/ New
(To address HRRemco issues)</t>
  </si>
  <si>
    <t>CHDM Infra Implem Grant</t>
  </si>
  <si>
    <t xml:space="preserve">Under-budgetted </t>
  </si>
  <si>
    <t>Principal-agent, so not include in agency budget?</t>
  </si>
  <si>
    <t xml:space="preserve">1 investor promotion event held
1 investment strategy developed and approved </t>
  </si>
  <si>
    <t xml:space="preserve">1 investor promotion event held
1 branding and communications strategy developed and approved </t>
  </si>
  <si>
    <t xml:space="preserve">Number of  new tenants secured for industrial enterprise development initaives </t>
  </si>
  <si>
    <t>5 new tenants secured for Komani Ind Park operating lease management</t>
  </si>
  <si>
    <t xml:space="preserve">n/a - incl in CHDM KIP budget 
</t>
  </si>
  <si>
    <t xml:space="preserve">Operating leases </t>
  </si>
  <si>
    <t xml:space="preserve">Targets / Deliverables </t>
  </si>
  <si>
    <t>100% HRM plan implemented for 2022
1 skills audit finalised to support turnaround plan
1 grading / job evaluation exercise finalised to support turnaround plan</t>
  </si>
  <si>
    <t>Q3 performance report finalised and audited
2021 annual report developed, approved and published</t>
  </si>
  <si>
    <t>75% HRM plan implemented for 2022
1 post - employee climate survey implementation plan developed and approved</t>
  </si>
  <si>
    <t xml:space="preserve">Commitment, Honesty, Respect, Innovation, Sincerity, Humanity and Nurturing, Accountability </t>
  </si>
  <si>
    <t>To Develop a Proficient, Viable and Self – Sustainable Entity by 2025</t>
  </si>
  <si>
    <t>To Mobilise Funding and Facilitate Investment Promotion into the District by 2025</t>
  </si>
  <si>
    <t>To Develop Economically Viable and Sustainable Rural Corridors by 2025</t>
  </si>
  <si>
    <t>To Support Economic Development Infrastructure Development by 2025</t>
  </si>
  <si>
    <t>SLA
Project expenditure records
Project income records
AFS 2022</t>
  </si>
  <si>
    <t>Performance Summary Q1 
30Sep2021</t>
  </si>
  <si>
    <t>Status</t>
  </si>
  <si>
    <t>Metric</t>
  </si>
  <si>
    <t>Performance Summary Q2
31Dec2021</t>
  </si>
  <si>
    <t>Performance Summary Q3
31Mar2022</t>
  </si>
  <si>
    <t xml:space="preserve">Reasons for Non-Achievement </t>
  </si>
  <si>
    <t>Remedial Action</t>
  </si>
  <si>
    <t>Responsible</t>
  </si>
  <si>
    <t>Due Date</t>
  </si>
  <si>
    <t>Exp Against Budget</t>
  </si>
  <si>
    <t xml:space="preserve">% Budget Spend </t>
  </si>
  <si>
    <t xml:space="preserve">n/a - no movement due for the quarter </t>
  </si>
  <si>
    <t>Comments</t>
  </si>
  <si>
    <t>Details</t>
  </si>
  <si>
    <t xml:space="preserve">Details </t>
  </si>
  <si>
    <r>
      <rPr>
        <b/>
        <sz val="9"/>
        <color theme="1"/>
        <rFont val="Arial"/>
        <family val="2"/>
      </rPr>
      <t>Achieved Above Required Performance Metric</t>
    </r>
    <r>
      <rPr>
        <sz val="9"/>
        <color theme="1"/>
        <rFont val="Arial"/>
        <family val="2"/>
      </rPr>
      <t xml:space="preserve">
</t>
    </r>
  </si>
  <si>
    <t>1 x application to LGSETA on 13/7/2021 (skills dev)
1 x application to DSBD on 13/8/2021 (econ infrastructure)
1 x application to DSBD on 23/8/2021 (critical infrastructure)
1 x application made to FASSET on 27/8/2021 (skills dev)
1 x application to Agriseta on 15/9/2021 (skills dev)
2 x applications to ECDC/Imvaba Fund on 19/09/2021 (co-op support)</t>
  </si>
  <si>
    <t>EMO
CEO</t>
  </si>
  <si>
    <t>Expenditure has been incurred on CHDM funded technical studies, geotechnical studies, assessment and scoping reports, EIA's, business plans and related expenditure in packaging an application to National Treasury/GTEC for chris Hani district wide economic infratructure funding application</t>
  </si>
  <si>
    <t xml:space="preserve">Achieved
</t>
  </si>
  <si>
    <t>1 x ICT Digital Hub round table event held on 13/8/2021</t>
  </si>
  <si>
    <t>Not Achieved</t>
  </si>
  <si>
    <t>Not 
Achieved</t>
  </si>
  <si>
    <t>Office of the EMO plans to have an engagement session first week of June 2022 to engage provicial stakeholders and funders, to identify possible issues in approval of applications by CHDA to improve quality of funding applications, and build relationships with funders</t>
  </si>
  <si>
    <t>Partial Achieved</t>
  </si>
  <si>
    <t xml:space="preserve">Expenditure has been incurred on business breakfast live streaming and advert costs, as well as  travel and accomodation costs on out of the district and province travel to engage funders and potential investors </t>
  </si>
  <si>
    <t xml:space="preserve">n/a - no movement required for the quarter </t>
  </si>
  <si>
    <t>n/a - no movement required for the quarter</t>
  </si>
  <si>
    <t xml:space="preserve">Expenditure has been incurred on rental valuation, environmnetal impact study and security costs to guard aprk infrastructure that has been in danger of vandalism, which deterns funders, investors and potential tenants </t>
  </si>
  <si>
    <t xml:space="preserve">1 x application to SAWITU on 5/10/2021 (grapes)
1 x aplication to Dept Pub Works on 10/12/2021 (waste)
1 x application to IDC/SEF in 12/2021 jointly with CHCDC
1 x application to National Treasury on 13/12/2021 (agro-processing critical infrastructure), with technical assessment outcome issued informaing CHDA about application pack gaps identified on budget/procurement/for re-submission
1 x funding approval received from the UIF application made in prior financial year amounting to a funding total of R72million 
</t>
  </si>
  <si>
    <t>Construction completion certificate
Exp records</t>
  </si>
  <si>
    <t>CHDM Economic Infra Prog Grant</t>
  </si>
  <si>
    <t>1 fruit and veg agro-processing packhouse completed and operational at Ezibeleni</t>
  </si>
  <si>
    <t>1 fertilizer blending facility refurbished to support local input production</t>
  </si>
  <si>
    <t>2  agro-processing facilitities supported to support local grai, fruit  and vegetable producers</t>
  </si>
  <si>
    <t>10.1.6</t>
  </si>
  <si>
    <t xml:space="preserve">No of local agro-processing infrastructure development projects supported </t>
  </si>
  <si>
    <t xml:space="preserve">Event closeout report
Site visit technical support reports
</t>
  </si>
  <si>
    <t>1 training event held to facilitate implementation of good agricultural practise</t>
  </si>
  <si>
    <t xml:space="preserve">1 pomegranate pilot programme provided with technical support
</t>
  </si>
  <si>
    <t>1 pomegranate pilot programme provided with technical support</t>
  </si>
  <si>
    <t>1 pomegranate pilot supported at Mitford</t>
  </si>
  <si>
    <t xml:space="preserve">Event closeout report
Harvest report
</t>
  </si>
  <si>
    <t xml:space="preserve">CHDM Irr Schemes </t>
  </si>
  <si>
    <t xml:space="preserve">1 wine grape harvest day event  held </t>
  </si>
  <si>
    <t>No of local fruit and veg prod support programmes to increase agricultural output to enable agro-processing</t>
  </si>
  <si>
    <t>1 wine grape initiative supported at Shiloh</t>
  </si>
  <si>
    <t>10.1.5</t>
  </si>
  <si>
    <t>5 cropping support programmes</t>
  </si>
  <si>
    <t>Agribus</t>
  </si>
  <si>
    <t xml:space="preserve">No of local fruit and veg prod support programmes to increase agricultural output to enable agro-processing </t>
  </si>
  <si>
    <t xml:space="preserve">Production reports
Expenditure records for inputs support </t>
  </si>
  <si>
    <t xml:space="preserve">40ha under cropping support </t>
  </si>
  <si>
    <t>1 farmer support initiative implemented to support local youth in grain and fodder production (Ntsimini)</t>
  </si>
  <si>
    <t>10.1.4</t>
  </si>
  <si>
    <t>AgriBus</t>
  </si>
  <si>
    <t>QMC income records</t>
  </si>
  <si>
    <t>CHDM QMC Grant</t>
  </si>
  <si>
    <t>R2m realised in mechanisation supprot functions</t>
  </si>
  <si>
    <t>R1.5m realised in mechanisation support functions</t>
  </si>
  <si>
    <t>R1m realised in mechanisation support  functions</t>
  </si>
  <si>
    <t>R500k realised in mechanisation support functions</t>
  </si>
  <si>
    <t>No of local grain and fodder cropping support programmes to increase agricultural output to enable agro-processing</t>
  </si>
  <si>
    <t>1 farmer support initiative implemented to support local grain and fodder  production (QMC)</t>
  </si>
  <si>
    <t>10.1.3</t>
  </si>
  <si>
    <t>3 cropping support programmes</t>
  </si>
  <si>
    <t>QMC</t>
  </si>
  <si>
    <t xml:space="preserve">No of local grain and fodder cropping support programmes to increase agricultural output </t>
  </si>
  <si>
    <t>Vaccination reports
Expenditure records</t>
  </si>
  <si>
    <t xml:space="preserve">CHDM Livestock Improvement </t>
  </si>
  <si>
    <t>50000 vaccines administered to support breeding / livestock programmes</t>
  </si>
  <si>
    <t>1 livestock breeding support programme operational in the district</t>
  </si>
  <si>
    <t>BKB / wool sales reports</t>
  </si>
  <si>
    <t>n/a - third party funded</t>
  </si>
  <si>
    <t>100 tons of wool harvested and sold on behalf of local sheep farmers</t>
  </si>
  <si>
    <t>No of local breeding and livestock production support programmes to enable livestock value chain commercial activities</t>
  </si>
  <si>
    <t xml:space="preserve">6 shearing sheds operational </t>
  </si>
  <si>
    <t>5 breeding and livestock production support programmes</t>
  </si>
  <si>
    <t>10.1
 Expansion of local agricultural output to drive agricultural commercial activity</t>
  </si>
  <si>
    <t xml:space="preserve">Supporting local agricultural output to drive agri-economy in the district </t>
  </si>
  <si>
    <t xml:space="preserve">Attendance registers
Minutes </t>
  </si>
  <si>
    <t xml:space="preserve">1 social facilitation and community engagement event held in irrigation schemes
1 farmers day event held 
</t>
  </si>
  <si>
    <t>1 social facilitation and community engagement event held in irrigation schemes</t>
  </si>
  <si>
    <t>5 stakeholder engagement events held to support LED initaitives</t>
  </si>
  <si>
    <t>9.2.1</t>
  </si>
  <si>
    <t>New</t>
  </si>
  <si>
    <t>No of stakeholder engagement events held to support LED initiatives for cirridor development</t>
  </si>
  <si>
    <t>9.2
Stakeholder Engagement and Facilitation</t>
  </si>
  <si>
    <t xml:space="preserve">1 active partnership to support livestock production in the district </t>
  </si>
  <si>
    <t>9.1.4</t>
  </si>
  <si>
    <t xml:space="preserve">1 partner identified to support ICT/ digital economy initiative in the district </t>
  </si>
  <si>
    <t>9.1.3</t>
  </si>
  <si>
    <t xml:space="preserve">1 active partnership to support waste economy in the district </t>
  </si>
  <si>
    <t>9.1.2</t>
  </si>
  <si>
    <t xml:space="preserve">Signed partnership agreements </t>
  </si>
  <si>
    <t xml:space="preserve">n/a-funded from salaries budget </t>
  </si>
  <si>
    <t>No of development partnerships driving LED projects</t>
  </si>
  <si>
    <t xml:space="preserve">1 active  partnerships to support agroprocessing in the district </t>
  </si>
  <si>
    <t>9.1.1</t>
  </si>
  <si>
    <t>20 partners</t>
  </si>
  <si>
    <t xml:space="preserve">9.1 Development Partnerships </t>
  </si>
  <si>
    <t>Partnerships, Synergies and Management of Stakeholders</t>
  </si>
  <si>
    <t>Technical studies / reports
Expenditure records</t>
  </si>
  <si>
    <t xml:space="preserve">CHDM biltong factory </t>
  </si>
  <si>
    <t>1 technical study conducted on molteno biltong factory commercialisation</t>
  </si>
  <si>
    <t>1 technical study conducted on agro-processing initiative</t>
  </si>
  <si>
    <t>8.1.4</t>
  </si>
  <si>
    <t xml:space="preserve">1 zoning and layout study completed to support Komani Ind Park 
1 bulk infrastructure assessment report conducted to support expansion of Komani Ind Park </t>
  </si>
  <si>
    <t xml:space="preserve">1 study conducted to support 1000-sow piggery facility establishment 
1 study conducted to support local beef commercial feedlot establishment  </t>
  </si>
  <si>
    <t xml:space="preserve">1 study conducted on bulk fuel to support local agri-industry
1 study completed on agri-inputs and logistics to support bulk agro-storage facilities in the district
</t>
  </si>
  <si>
    <t xml:space="preserve">6 critical economic enabling infrastructure development technical studies conducted </t>
  </si>
  <si>
    <t>8.1.3</t>
  </si>
  <si>
    <t>Rental valuations report
EIA report</t>
  </si>
  <si>
    <t xml:space="preserve">CHDM Komani Ind Park </t>
  </si>
  <si>
    <t>1 EIA study completed on Komani Ind Park initiative</t>
  </si>
  <si>
    <t xml:space="preserve">1 rental valuation report finalised for Komani Ind Park initiative </t>
  </si>
  <si>
    <t>2 technical studies completed on industrial park</t>
  </si>
  <si>
    <t>8.1.2</t>
  </si>
  <si>
    <t>Report</t>
  </si>
  <si>
    <t>CHDM Coal Exloration</t>
  </si>
  <si>
    <t>1 technical study conducted in Indwe-Molteno coal mining initiative</t>
  </si>
  <si>
    <t xml:space="preserve">1 research initiation report developed to supprt local mining initiative </t>
  </si>
  <si>
    <t xml:space="preserve">1 technical study conducted on mining initiative </t>
  </si>
  <si>
    <t>8.1.1</t>
  </si>
  <si>
    <t>10 studies</t>
  </si>
  <si>
    <t>No of technical studies conducted to support high impact sustainable projects</t>
  </si>
  <si>
    <t xml:space="preserve">8.1
Technical Studies  to support LED </t>
  </si>
  <si>
    <t>Research and Technical Studies</t>
  </si>
  <si>
    <t>DRDAR payroll grant
CHDM infra implem grant</t>
  </si>
  <si>
    <t xml:space="preserve">100 jobs or EPWP work opportunities targetted realised from CHDA implemented projects </t>
  </si>
  <si>
    <t>7.1.2</t>
  </si>
  <si>
    <t>EMO
CFO
PMU</t>
  </si>
  <si>
    <t>CHDA payroll records</t>
  </si>
  <si>
    <t>n/a - included in CHDA salaries budget</t>
  </si>
  <si>
    <t xml:space="preserve">13 jobs or work opportunities targetted at youth  in internship programme </t>
  </si>
  <si>
    <t>7.1.1</t>
  </si>
  <si>
    <t xml:space="preserve">No of jobs and work opportunities facilitated for CHD residents and unemployed critical skills graduates </t>
  </si>
  <si>
    <t>7.1
Jobs and work opportunities for CHD residents</t>
  </si>
  <si>
    <t xml:space="preserve">Job Creation and Work Opportunities </t>
  </si>
  <si>
    <t xml:space="preserve">No expenditure as funding provided by third parties </t>
  </si>
  <si>
    <t>n/a - no movement required in period</t>
  </si>
  <si>
    <t xml:space="preserve">Attendance registers 
Training reports
MOU </t>
  </si>
  <si>
    <t>n/a-funded by Cogta</t>
  </si>
  <si>
    <t>35 local SMME's participating in capacitation programme</t>
  </si>
  <si>
    <t>No of SMME's provided with capacitation and business development  support</t>
  </si>
  <si>
    <t>6.2
SMME Development and Capacitation Support</t>
  </si>
  <si>
    <t xml:space="preserve">Career seminar event costs </t>
  </si>
  <si>
    <t>EMO
SKILLS-CORD</t>
  </si>
  <si>
    <t>Achieved</t>
  </si>
  <si>
    <t>Attendance registers and event closeout reports</t>
  </si>
  <si>
    <t>Career seminars</t>
  </si>
  <si>
    <t>2 career seminars held
1 skills development forum held</t>
  </si>
  <si>
    <t xml:space="preserve">12 career seminars held </t>
  </si>
  <si>
    <t>6.1.3</t>
  </si>
  <si>
    <t>No of skills promotion or awareness events held</t>
  </si>
  <si>
    <r>
      <rPr>
        <b/>
        <sz val="9"/>
        <color theme="1"/>
        <rFont val="Arial"/>
        <family val="2"/>
      </rPr>
      <t>Not Achieved</t>
    </r>
    <r>
      <rPr>
        <sz val="9"/>
        <color theme="1"/>
        <rFont val="Arial"/>
        <family val="2"/>
      </rPr>
      <t xml:space="preserve">
Nil students on bursary fund
New bursaries under LGSETA (2) for Agriculture and LG Finance targetted at 13 students with combined approved funding support of R910k </t>
    </r>
  </si>
  <si>
    <t>Nil students on the bursary fund</t>
  </si>
  <si>
    <t>Expenditure records
Academic performance reports</t>
  </si>
  <si>
    <t>CHDM Skills Grant Exp</t>
  </si>
  <si>
    <t>8 youth under CHDA bursary support</t>
  </si>
  <si>
    <t xml:space="preserve">8 local youth provided with bursary support </t>
  </si>
  <si>
    <t>6.1.2</t>
  </si>
  <si>
    <t>Part Achieved</t>
  </si>
  <si>
    <t>Seta attendance registers and trainign reports
Expenditure records</t>
  </si>
  <si>
    <t>CETA Grant Exp</t>
  </si>
  <si>
    <t xml:space="preserve">42 youth in approved CETA programme
</t>
  </si>
  <si>
    <t>No of youth capacitated in critical skills development programmes</t>
  </si>
  <si>
    <t>40 local youth participating in accredited Seta skills programme(s)</t>
  </si>
  <si>
    <t>6.1.1</t>
  </si>
  <si>
    <t>300 youth</t>
  </si>
  <si>
    <t>SC</t>
  </si>
  <si>
    <t>6.1
Critical skills development to enable economic development in development corridors</t>
  </si>
  <si>
    <t>Scarce Skills, SMME  Development and Capacitation</t>
  </si>
  <si>
    <t>SG 3: 
To Develop Economically Viable and Sustainable Rural Corridors by 2027</t>
  </si>
  <si>
    <t>APP TAGET DUE DATE 2021-2022</t>
  </si>
  <si>
    <t xml:space="preserve">EMO
</t>
  </si>
  <si>
    <t>30/06/2022</t>
  </si>
  <si>
    <t>1 rental valuation report finalised for KIP rentals by Xoliswa Tini properties</t>
  </si>
  <si>
    <r>
      <rPr>
        <b/>
        <sz val="9"/>
        <color theme="1"/>
        <rFont val="Arial"/>
        <family val="2"/>
      </rPr>
      <t>Not Achieved</t>
    </r>
    <r>
      <rPr>
        <sz val="9"/>
        <color theme="1"/>
        <rFont val="Arial"/>
        <family val="2"/>
      </rPr>
      <t xml:space="preserve">
Nil technical study concluded on mining initaive</t>
    </r>
  </si>
  <si>
    <t>30/05/2022</t>
  </si>
  <si>
    <t>The expenditure incurred is on mining LED contractor, and billing by Lwethuma Inv on data gathering for research report</t>
  </si>
  <si>
    <t>1 remaining technical study not yet complete but in progress in joint implementation done by CHCDC</t>
  </si>
  <si>
    <t>Ensure implementing partner finalises and submits required reports to support incurred expenditure to date on KIP EIA, critical infrastructure assessments, etc</t>
  </si>
  <si>
    <t>EMO
ACEO</t>
  </si>
  <si>
    <t xml:space="preserve">Fund have been spent on agri-packhouse completion, EIA scoping reports for KIP, business plan development, geotechnical studies, engineering costs for bulk infrastructure assessments, risk assessments, community/public participation activities and water use license  applications to support large scale economic activity in the district </t>
  </si>
  <si>
    <r>
      <rPr>
        <b/>
        <sz val="9"/>
        <color theme="1"/>
        <rFont val="Arial"/>
        <family val="2"/>
      </rPr>
      <t>Not Achieved</t>
    </r>
    <r>
      <rPr>
        <sz val="9"/>
        <color theme="1"/>
        <rFont val="Arial"/>
        <family val="2"/>
      </rPr>
      <t xml:space="preserve">
No movement made on biltong factory </t>
    </r>
  </si>
  <si>
    <t>30/09/2022</t>
  </si>
  <si>
    <r>
      <rPr>
        <b/>
        <sz val="9"/>
        <color theme="1"/>
        <rFont val="Arial"/>
        <family val="2"/>
      </rPr>
      <t>Achieved</t>
    </r>
    <r>
      <rPr>
        <sz val="9"/>
        <color theme="1"/>
        <rFont val="Arial"/>
        <family val="2"/>
      </rPr>
      <t xml:space="preserve">
1 x waste partnership in place to commercialise the waste buy-back facilities - Tulsaspark is operator partner
</t>
    </r>
  </si>
  <si>
    <t>Delays in identifying technical partner for ICT digital hub, due to Nat Treasury advert restrictions on ConCourt matter</t>
  </si>
  <si>
    <r>
      <t xml:space="preserve">Not Achieved
</t>
    </r>
    <r>
      <rPr>
        <sz val="9"/>
        <color theme="1"/>
        <rFont val="Arial"/>
        <family val="2"/>
      </rPr>
      <t xml:space="preserve">No ICT partner identified thus far </t>
    </r>
  </si>
  <si>
    <t>This had initial budget from DEDEAT of +-R6m, but due to KIP infrastructure challenges, they are not comfortable with high investment until park security issues are resolved.</t>
  </si>
  <si>
    <t>Over 50000 vaccines administered in the period</t>
  </si>
  <si>
    <t xml:space="preserve">Achieved </t>
  </si>
  <si>
    <r>
      <rPr>
        <b/>
        <sz val="9"/>
        <color theme="1"/>
        <rFont val="Arial"/>
        <family val="2"/>
      </rPr>
      <t>Achieved</t>
    </r>
    <r>
      <rPr>
        <sz val="9"/>
        <color theme="1"/>
        <rFont val="Arial"/>
        <family val="2"/>
      </rPr>
      <t xml:space="preserve">
1 x partnership active during the year for livestock/breeding support/vaccination/animal health with Dicla Projects, and total number of minimum required vaccines met </t>
    </r>
  </si>
  <si>
    <t>TBC</t>
  </si>
  <si>
    <r>
      <rPr>
        <b/>
        <sz val="9"/>
        <color theme="1"/>
        <rFont val="Arial"/>
        <family val="2"/>
      </rPr>
      <t>Not Achieved</t>
    </r>
    <r>
      <rPr>
        <sz val="9"/>
        <color theme="1"/>
        <rFont val="Arial"/>
        <family val="2"/>
      </rPr>
      <t xml:space="preserve">
No movement in assisting Ntsimini Holdings cropping support this YTD</t>
    </r>
  </si>
  <si>
    <t>Budget unavailability to provide planned input support, as funds diverted to support Shiloh initiative</t>
  </si>
  <si>
    <t>No expenditure incurred</t>
  </si>
  <si>
    <t>1 pomegranate pilot provided with ongoing support</t>
  </si>
  <si>
    <r>
      <rPr>
        <b/>
        <sz val="9"/>
        <color theme="1"/>
        <rFont val="Arial"/>
        <family val="2"/>
      </rPr>
      <t>Achieved</t>
    </r>
    <r>
      <rPr>
        <sz val="9"/>
        <color theme="1"/>
        <rFont val="Arial"/>
        <family val="2"/>
      </rPr>
      <t xml:space="preserve">
1 pomegranate pilot provided with ongoing support</t>
    </r>
  </si>
  <si>
    <t xml:space="preserve">R43k spent on subsidising 2 local labourers from co-op to assist with crop monitoring activities </t>
  </si>
  <si>
    <t xml:space="preserve">Over 50000 vaccines administered in the period
</t>
  </si>
  <si>
    <t>Achieved Above Required Performance Metric</t>
  </si>
  <si>
    <t>A total of R500376.40 was generated by the center at the end of the period (exVAT)</t>
  </si>
  <si>
    <t>A total of R1244992.31 was generated by the center at the end of the period (exVAT)</t>
  </si>
  <si>
    <t>Performance Summary Q4
30Jun2022</t>
  </si>
  <si>
    <t>A total of R16,207,858.11 (exclVAT) realised in agency fees in the period 1/7/2021 - 30/6/2021 from infrastructure implementation support activities</t>
  </si>
  <si>
    <r>
      <rPr>
        <b/>
        <sz val="9"/>
        <color theme="1"/>
        <rFont val="Arial"/>
        <family val="2"/>
      </rPr>
      <t>Achieved Above Required Performance Metric</t>
    </r>
    <r>
      <rPr>
        <sz val="9"/>
        <color theme="1"/>
        <rFont val="Arial"/>
        <family val="2"/>
      </rPr>
      <t xml:space="preserve">
A total of R16.2  million (exclVAT) was realised in agency fee revenue
R7.4 million (exclVAT) was not yet received by year end, and raised as a receivable </t>
    </r>
  </si>
  <si>
    <t>A total of R 155,355,610.32 (exclVAT) was expened in infrastrusture service delivery project implementation from 1/7/2021 - 30/6/2022</t>
  </si>
  <si>
    <r>
      <rPr>
        <b/>
        <sz val="9"/>
        <color theme="1"/>
        <rFont val="Arial"/>
        <family val="2"/>
      </rPr>
      <t>Achieved Above Required Performance Metric</t>
    </r>
    <r>
      <rPr>
        <sz val="9"/>
        <color theme="1"/>
        <rFont val="Arial"/>
        <family val="2"/>
      </rPr>
      <t xml:space="preserve">
A total of R155.4 million (exclVAT) was expended in the period
A total of R 44.3 million (exclVAT) was not yet paid in contractor/engineer fee claims by CHDM at year end from drawdowns sudbitted end 06/2022</t>
    </r>
  </si>
  <si>
    <t>Expenditure has been incurred on CHDM funded project implementation expenditure (professional engineering fees and contractor fee claims), funded by MIG/RBIG/WSIG conditional grant allocations
The agency fee expenditure realised was used to fund internally-funded  LED  programmes that did not have a funding allocation in 2021/2022</t>
  </si>
  <si>
    <t>Year to Date Summary Against Annual Target at 30 June 2022</t>
  </si>
  <si>
    <t>CHDM funding cancelled in 2021 
No allocation for bursary in 2022</t>
  </si>
  <si>
    <t>Nil expenditure to date as no movement on CHDM Mayors Bursary iniatiative in 2021/2022</t>
  </si>
  <si>
    <t>1 x SDF held 18/11/2021
1 x learner seminar held at Molteno Town Hall 21/10/2021
1 x learner seminar held at Nzimankulu High 21/10/2021
1 x learner seminar held at Tsomo High 4/11/2021
1 x learner seminar held at  Cofimvaba High 3/11/2021</t>
  </si>
  <si>
    <t xml:space="preserve">1 x SDF held 23/8/2021
1 x virtual career seminar held 29/9/2021
</t>
  </si>
  <si>
    <t>1 x SDF held 17/2/2022
1 x learner career seminar held at Ntsonkotha High 22/3/2022
1 x teacher career seminar held at Ntsonkotha High 22/3/2022</t>
  </si>
  <si>
    <r>
      <t xml:space="preserve">Achieved Above Required Perfromance Metric
</t>
    </r>
    <r>
      <rPr>
        <sz val="9"/>
        <color theme="1"/>
        <rFont val="Arial"/>
        <family val="2"/>
      </rPr>
      <t xml:space="preserve">A total of 9 seminars were held for the year with 4 skills development for a held </t>
    </r>
    <r>
      <rPr>
        <b/>
        <sz val="9"/>
        <color theme="1"/>
        <rFont val="Arial"/>
        <family val="2"/>
      </rPr>
      <t xml:space="preserve"> </t>
    </r>
  </si>
  <si>
    <t>35 SMME's being trained in partnership with Black Umbrellas/ECDC and Cogta/FNB</t>
  </si>
  <si>
    <t xml:space="preserve">1 x SDF held 19/5/2022 1 
1 x learner expo held 28/4/2022
1 x teacher seminar held 28/4/2022
</t>
  </si>
  <si>
    <t>Budget spent on DRDAR employee costs - this was part funded by R900k rollover from prior financial year due to overlaps in departmental and municipal financial years 
the EPWP workers on infrastructure programme cost reported under R155million reported movement in programme4, as part of contractor fee claims labour component</t>
  </si>
  <si>
    <t xml:space="preserve">No technical study completed on mining iniatiave </t>
  </si>
  <si>
    <t>1 x scoping and EIA process report finalised on puplic participation process for KIP - Work has commenced and is in progress for completion of EIA for KIP, with scoping report finalised, and EIA process commenced and community engaged</t>
  </si>
  <si>
    <t>31/12/2022</t>
  </si>
  <si>
    <t xml:space="preserve">1 x  bulk fuel study finalised for KIP bulk fuel depot
1 x study completed on cradock farms identified for mass fodder production to support local agri-inputs production facility </t>
  </si>
  <si>
    <t xml:space="preserve">1 x zoning/ subdivision town planning and heritage assessment report finalised for KIP
1 x bulk infrastructure assessment report finalised for KIP bulk infrastructure, electrical, and geotechnical analysis </t>
  </si>
  <si>
    <r>
      <rPr>
        <b/>
        <sz val="9"/>
        <color theme="1"/>
        <rFont val="Arial"/>
        <family val="2"/>
      </rPr>
      <t>Not Achieved</t>
    </r>
    <r>
      <rPr>
        <sz val="9"/>
        <color theme="1"/>
        <rFont val="Arial"/>
        <family val="2"/>
      </rPr>
      <t xml:space="preserve">
 </t>
    </r>
  </si>
  <si>
    <t>No movement made on biltong factory technical study</t>
  </si>
  <si>
    <t>Challenges with structure being vandalised due to lack of use
Institutional challenges with co-op members</t>
  </si>
  <si>
    <t>No expenditure since biltong factory procured in 2019/20</t>
  </si>
  <si>
    <t>Item has been budgetted for 2022/2023 and will be carried over to allow for adequate assessment and feasibility of the biltong project
Planned social facilitation and engagement to build sense of ownership on initial investment made by co-op members 
Planned security placement at factory to reduce incidences of vandalism due to unoccupied structure</t>
  </si>
  <si>
    <t xml:space="preserve">Not Achieved
</t>
  </si>
  <si>
    <t xml:space="preserve">No ICT partner identified thus far </t>
  </si>
  <si>
    <t>1 x partnership active during the year for livestock/breeding support/vaccination/animal health with Dicla Projects</t>
  </si>
  <si>
    <t>All expenditure incurred under the Dicla contract this financial year  with a total of over 75000 vaccines administered each month to support local livestock production</t>
  </si>
  <si>
    <t>1 x stakeholder engagement event held 27/10/2021 (global horticulture)</t>
  </si>
  <si>
    <t xml:space="preserve">1 x stakeholder engagement event held 18/3/2022 (qamata farmers/ DEDEAT/DRDAR/DALRRD)
1 x stakeholder engagement event held 24/1/2022 (shiloh scheme)
</t>
  </si>
  <si>
    <t xml:space="preserve">1 x stakeholder engagement event held 31/8/2021 (ncora scheme)
</t>
  </si>
  <si>
    <t>1 x farmers day held 19/4/2022 (wool grower farmer indaba)
1 x stakeholder engagement event held (DRDLR/FSPU engagement with scheme members)</t>
  </si>
  <si>
    <t xml:space="preserve">All expenditure incurred spent on travel, event costs, catering and related expenses on events held / partnered in hosting </t>
  </si>
  <si>
    <t>6 shearing sheds operational - event held with local wool farmers with NWGA in 04/2022 at Silulo Shearing Shed/Ngudle</t>
  </si>
  <si>
    <t>A total of 21005.8 kgs (21tons) of wool were realised from support of local wool producers - R1,352,920.13 realised in wool sales for local producers</t>
  </si>
  <si>
    <r>
      <rPr>
        <b/>
        <sz val="9"/>
        <color theme="1"/>
        <rFont val="Arial"/>
        <family val="2"/>
      </rPr>
      <t>Achieved</t>
    </r>
    <r>
      <rPr>
        <sz val="9"/>
        <color theme="1"/>
        <rFont val="Arial"/>
        <family val="2"/>
      </rPr>
      <t xml:space="preserve">
6 shearing sheds operational - all farmers participated in wool indaba, and started mobilising to pool sheared wool for offtakes with BKB</t>
    </r>
  </si>
  <si>
    <t xml:space="preserve">No expenditure as sheds externally funded </t>
  </si>
  <si>
    <t>A total of R1007619.82 was generated by the center at the end of the period (exVAT)</t>
  </si>
  <si>
    <t>A total of R1794701.20 was generated by the center at the end of the period (exVAT)</t>
  </si>
  <si>
    <t>Challenges with dilapidated fleet
Challenges with tariffs being below market affects ability to recover costs
No stand-alone funding in 2021/2022, with all relaince on own agency income and CHDA operational budget subsidy</t>
  </si>
  <si>
    <t>Revise QMC tariff structure in line with competitors and revaluate the center business model</t>
  </si>
  <si>
    <t xml:space="preserve">CFO
EMO
CEO
</t>
  </si>
  <si>
    <t xml:space="preserve">Expenditure drivers were fleet repairs, maintenance, center running costs and services / utilities, diesel costs, as well as spares, oil and lubricants, licensing and insurance </t>
  </si>
  <si>
    <t>Local youth not provided with cropping support</t>
  </si>
  <si>
    <t xml:space="preserve">No harvest day held at Shiloh - financial support provided to assist with processing, operational costs </t>
  </si>
  <si>
    <t xml:space="preserve">1 pomegranite pilot provided with ongoing support
Training event held with pomegranate producers </t>
  </si>
  <si>
    <t>10.1.7</t>
  </si>
  <si>
    <t xml:space="preserve">The expenditure incurred  is on the CHCDC side, from the source of approved DSBD funds.
The budget allocation on CHDA is for technical studies that feed into the fert blending, fuel deport, bulk infrastructure, and other high impact projects for the district, and these have been reported on above </t>
  </si>
  <si>
    <r>
      <rPr>
        <b/>
        <sz val="9"/>
        <rFont val="Arial"/>
        <family val="2"/>
      </rPr>
      <t>Achieved</t>
    </r>
    <r>
      <rPr>
        <sz val="9"/>
        <rFont val="Arial"/>
        <family val="2"/>
      </rPr>
      <t xml:space="preserve">
35 SMME's being trained in partnership with Black Umbrellas/ECDC and Cogta/FNB</t>
    </r>
  </si>
  <si>
    <t xml:space="preserve">2 x application to PotatoSA on 14/1/2022 (cropping)
1 x application to Job Stimulus Fund submitted in 03/2022 for various LED projects jointly with CHCDC 
</t>
  </si>
  <si>
    <t>Performance Summary Q4
30June2022</t>
  </si>
  <si>
    <t>Year to Date Summary Against Annual Target at End 30June2022</t>
  </si>
  <si>
    <t xml:space="preserve">3 x LRED applications made in quarter for Shilo winery, Molteno Factory and Mitrock Pomec pilot 
R1.360 confirmed in POE from LGSETA and HWSETA on confirmed skills programme funding 
R72m in UIF funding for 490 employment positions approved but not yet received </t>
  </si>
  <si>
    <t xml:space="preserve">1 x KIP business breakfast held to engage industrialists 20/1/2022
1 x waste summit held on 3/3/2022
1 x investor staretgy developed but not approved - approved later in the year 
</t>
  </si>
  <si>
    <t>5 signed leases in period to enble billing commencemnt in 07/2022</t>
  </si>
  <si>
    <t xml:space="preserve">46 youth in CETA apprenticeship programmes (Ngcobo (26) and InxubaYethemba (20)) in the quarter </t>
  </si>
  <si>
    <t>Performance Summary Q1
30Sep2021</t>
  </si>
  <si>
    <t>AFS and APR submission deadline with AGSA met on 31/8/2021</t>
  </si>
  <si>
    <t xml:space="preserve">n/a - no movement required for quarter </t>
  </si>
  <si>
    <t>AGSA issued audit report before end of the quarter - qualification</t>
  </si>
  <si>
    <t xml:space="preserve">AR developed, submitted to MPAC and apprived for 2020-21 - presented at AGM held before end of the year </t>
  </si>
  <si>
    <t>Expenditure has been incurred on external audit fees</t>
  </si>
  <si>
    <t xml:space="preserve">Board held 30/8/2021 and 31/8/2021 for AFS approval </t>
  </si>
  <si>
    <t>Board held 22/12/2021</t>
  </si>
  <si>
    <t>Board held in 01/2022 and 02/2022 for midterm APP and budget adjustments</t>
  </si>
  <si>
    <t xml:space="preserve">There were scheduling challenges during year but sittings did take place at least once per quarter </t>
  </si>
  <si>
    <t>An approved calendar to allow scheduling and planning in advance for 2022/2023</t>
  </si>
  <si>
    <t>CFO
CEO</t>
  </si>
  <si>
    <t xml:space="preserve">Expenditure incurred on board and committee sitting fees </t>
  </si>
  <si>
    <t>Board held 26/6/2022, AGM held 24/6/2022</t>
  </si>
  <si>
    <t xml:space="preserve">No recorded sitting of Govcom in quarter </t>
  </si>
  <si>
    <t xml:space="preserve">Three recorded sittings of Govcom in quarter </t>
  </si>
  <si>
    <t>One recorded sitting of Govcom in quarter</t>
  </si>
  <si>
    <t xml:space="preserve">Joint ARC/Fincom held to approve AFS and APR in quarter </t>
  </si>
  <si>
    <t>ARC and FINCOM sat in quarter for audit report presentation</t>
  </si>
  <si>
    <t>ARC and FINCOM sat in quarter for budget approval and midyear reporting</t>
  </si>
  <si>
    <t>ARC and FINCOM sat in quarter for Q3 reporting</t>
  </si>
  <si>
    <t>Two recorded sittings in quarter</t>
  </si>
  <si>
    <t xml:space="preserve">No recorded sitting of HRRE in quarter </t>
  </si>
  <si>
    <t>Poor resolution managemnt and oversight due to limited sittings
Key mngt positions vacant for extended periods of the year</t>
  </si>
  <si>
    <t>Expenditure included under line items in admin and general expenditure depending on which resolution is being actioned</t>
  </si>
  <si>
    <t xml:space="preserve">Expendture under cosec budget </t>
  </si>
  <si>
    <t xml:space="preserve">Nil expenditure - funded by acting allowance on CFO position as internal incumbent was utilised - board resolution indicated TEI too expensive to develop ethics reporting framework so alternative option utilise to save on costs </t>
  </si>
  <si>
    <t xml:space="preserve">1 ethics reporting framework developed for HRRE presentation to guide agency rollout of ethics - aligned to EthicsSA and TEI  - the framework is an ongoing work in progress </t>
  </si>
  <si>
    <t>Risk w/shop not held as startegic plan session cancelled</t>
  </si>
  <si>
    <t xml:space="preserve">Quarterly risk assessment not conducted </t>
  </si>
  <si>
    <t xml:space="preserve">Scheduling challenges and delay in annual startegic planning session to develop a risk register for 2021/2022 as basis of risk reporting </t>
  </si>
  <si>
    <t xml:space="preserve">Ensure risk register developed before start of new financial year via a risk workshop with clear risk action plan </t>
  </si>
  <si>
    <t>CEO
IA</t>
  </si>
  <si>
    <t>Post audit action plan developed and updated - presented to ARC, board and MPAC</t>
  </si>
  <si>
    <t>Risk workshop held 05/2022 and risk-based IA plan developed for 2022/23</t>
  </si>
  <si>
    <r>
      <t xml:space="preserve">Achieved
</t>
    </r>
    <r>
      <rPr>
        <sz val="9"/>
        <color theme="1"/>
        <rFont val="Arial"/>
        <family val="2"/>
      </rPr>
      <t xml:space="preserve">Post audit plan completed, risk register developed, IA plan developed </t>
    </r>
  </si>
  <si>
    <t xml:space="preserve">Nil expenditure - funded by IA fees
Nil expenditure - funded by acting allowance on CFO position as internal incumbent was utilised for post audit action plan / internal document </t>
  </si>
  <si>
    <t xml:space="preserve">&lt;100% implementation of post-audit action plan </t>
  </si>
  <si>
    <t>PPE delays to address AG issues from 2021</t>
  </si>
  <si>
    <t xml:space="preserve">Ensure valuation exercise completed before AFS 2022 finalised </t>
  </si>
  <si>
    <t>Expenditure will be incurred when fees are paid to the valuation / asset mngt company contracted to conduct the exercise</t>
  </si>
  <si>
    <t>No reporting against a risk action plan in 2022</t>
  </si>
  <si>
    <t>Delays in risk assessment workshop as basis of risk register and related risk mitigation action plan  - risk woskop held 05/2022 in time for an action plan to be developed for 2022/23</t>
  </si>
  <si>
    <t>Adhoc assignments affected ability to fully execeute approved IA plan 
No approved APP for first half of year delayed performance reports - catchup done by end June on approved APP Q1-Q3 reports</t>
  </si>
  <si>
    <t xml:space="preserve">The Ict Applications, HR,assignments have been carried f/wd to 2022/23, to be finalsied before end of Q2/2023
The Q1-Q3, Projects, PMS have been recorded as work in progress at year end </t>
  </si>
  <si>
    <t xml:space="preserve">&lt;100% implementation of IA action plan </t>
  </si>
  <si>
    <t>Expenditure incurred on IA reports and investigations</t>
  </si>
  <si>
    <t>Strat planning session held 05/2022 and report approved before end 06/2022</t>
  </si>
  <si>
    <t xml:space="preserve">Nil expenditure incurred - inhouse </t>
  </si>
  <si>
    <t xml:space="preserve">APP not approved for 2021/22 by first quarter </t>
  </si>
  <si>
    <t>APP approved 02/2022</t>
  </si>
  <si>
    <t>Delayed approval of an APP for 2021/2022</t>
  </si>
  <si>
    <t xml:space="preserve">Catchup efforts to ensure items ralised by end June 2022, with close monitoring </t>
  </si>
  <si>
    <t xml:space="preserve">Policy reviews delayed </t>
  </si>
  <si>
    <t xml:space="preserve">Policy review workshops delayed </t>
  </si>
  <si>
    <t>Policy review register and action plan developed for 2022/23</t>
  </si>
  <si>
    <t>ICT stratgey based on risk assessment developed for ICT processes and reporting in 2021/22</t>
  </si>
  <si>
    <t>&lt;100% implemetation of ICT plan</t>
  </si>
  <si>
    <t>Uptime target affected by budget constrints - could not procure new ICT equipment on desired ration of 1:3 employees as backup devices</t>
  </si>
  <si>
    <t xml:space="preserve">Look at lease options to reduce CAPEX cost
ICT equipment included in 2022/23 apprved budget </t>
  </si>
  <si>
    <t xml:space="preserve">Expenditure incurred mainly on software licensing fees, antivirus, IT support callouts for server security and server room maintenance, as well as office telephony, communication costs </t>
  </si>
  <si>
    <t xml:space="preserve">Disclosure in AFS and registers,investigation and  treatment by AO in line with Section32 prescripts and guidelines before items are written off or recovered through consequence management
Consequence managemrnt policy to be developed for agency </t>
  </si>
  <si>
    <t>CEO
CFO</t>
  </si>
  <si>
    <t xml:space="preserve">Expenditure per section32 registers - mainly SARS penalties on VAT and PAYE  </t>
  </si>
  <si>
    <t xml:space="preserve">Expenditure per section32 registers - mainly infrastructure costs </t>
  </si>
  <si>
    <t>APR audited and submitted to AG</t>
  </si>
  <si>
    <t>No APP so no report for auditing</t>
  </si>
  <si>
    <t xml:space="preserve">Midyear performance S88 report developed and presented to CHDM and board based on priro year unachieved taregts </t>
  </si>
  <si>
    <t>Q1-Q3 performance reports developed and audited 
AR finalised and adopted at MPAC and Board in AGM held 06/2022</t>
  </si>
  <si>
    <t>Ensure board conducts a self assessment before end of Q1/2023
Ensure shareholder consucts assessment of board before end Q2/2023</t>
  </si>
  <si>
    <t>COSEC
Board</t>
  </si>
  <si>
    <t xml:space="preserve">Board performance assessment not conducted by year end </t>
  </si>
  <si>
    <t xml:space="preserve">PMS 2019/20 finalised and IA submitted for mngt comments
No Movement on 2020/21 and 2021/22 review by IA - managemrnt has a standing items to HRRE committee on status of perofrmance assessments and schedule provided on assessments conducted to date </t>
  </si>
  <si>
    <t xml:space="preserve">Delays in staff performance reviews
Lack of co-ordination in collating scoresheets and POE
Delays insigning of performance contracst aligned to APP approval delays 
Absence of key management personnel to drive performance reviews </t>
  </si>
  <si>
    <t>CEO
CFO
EMO</t>
  </si>
  <si>
    <t>Performance agreements to be signed before end of first quarter for 2022/23 as APP approved in advance
Align EXCO performance contracts to include unit performance reviews for accountability 
Ensure 2022 review finalised by end 12/2022</t>
  </si>
  <si>
    <t xml:space="preserve">HRM plan developed as basis of HR activities - 75% of plan finalised for quarter </t>
  </si>
  <si>
    <t>Expensiture on payroll costs, as well as HR related line items like training, OHS, leave pay on termination, etc</t>
  </si>
  <si>
    <t xml:space="preserve">HRM plan developed as basis of HR activities - 90% of plan finalised for quarter 
Climate survey action plan finalised </t>
  </si>
  <si>
    <t xml:space="preserve">HRM plan developed as basis of HR activities - 52% of plan finalised for year, skills audit not finalised, slary benchmarking not done by end June 2022
</t>
  </si>
  <si>
    <t xml:space="preserve">The refurbishment has not yet been finalised and DSBD funds utilised for plant and machinery procurement - not yet installed due to delays in  sourcing of funding for  building refurbishment - DBSA has been engaged </t>
  </si>
  <si>
    <t>PoE was checked and validated, including:
- GL account for vote 2243 (CHDM Infrastructure Development Expenditure) with total of R155,355,610.32 as at 30 June 2022
- GL account 8035 (CHDM Infrastructure Development Liability) with a balance of R44,362,998.69 as at 30 June 2022
- MOA between CHDM and CHDA (dated 04/12/2020) on extending the CHDA mandate to include management of prioritised CHDM infrastructure projects to accelerate their implementation.</t>
  </si>
  <si>
    <t>Yes</t>
  </si>
  <si>
    <r>
      <rPr>
        <b/>
        <sz val="9"/>
        <rFont val="Arial"/>
        <family val="2"/>
      </rPr>
      <t>Management disagrees with the finding</t>
    </r>
    <r>
      <rPr>
        <sz val="9"/>
        <rFont val="Arial"/>
        <family val="2"/>
      </rPr>
      <t xml:space="preserve">
1) The difference is the VAT component charged on all agency fees at 15%.  The schedule is VAT-inclusive at R18m, but the GL is VAT-exclusive at R16m - the difference is what CHDA pays over to SARS in output VAT
2) The GL looks at movement in period 1/7/2021-30/6/2022 - the schedule is multi-year, and may include a component relating to period ending 30 June 2021 which has already been disclosed in the GL / AFS 2021
3) The realisticness of the target is reasonable to management.  The CHDM was able to confirm only R2.5m in the budget of 2021/2022 in agency fees, and this was adjusted to the 10% of actual project value implemented at midyear to reduce the variance during budget adjustment </t>
    </r>
  </si>
  <si>
    <t>No</t>
  </si>
  <si>
    <t>Auditors Conclusion
APR</t>
  </si>
  <si>
    <t>Management Comment
APR</t>
  </si>
  <si>
    <t>Internal Audit Comment
APR</t>
  </si>
  <si>
    <t>Internal Audit Recalculated Status APR</t>
  </si>
  <si>
    <t>Auditors Conclusion
Q4</t>
  </si>
  <si>
    <t>Management Comment 
Q4</t>
  </si>
  <si>
    <t>Internal Audit Comment
Q4</t>
  </si>
  <si>
    <t>Internal Audit Recalculated Status Q4</t>
  </si>
  <si>
    <t>3
Comparison to APP</t>
  </si>
  <si>
    <t>2
Completeness</t>
  </si>
  <si>
    <t>1.2
Validity</t>
  </si>
  <si>
    <t>1.1
Accuracy</t>
  </si>
  <si>
    <t>Internal Audit Work conducted</t>
  </si>
  <si>
    <t>%</t>
  </si>
  <si>
    <t>STATUS ON ANNUAL PERFORMANCE_ 2020-2021</t>
  </si>
  <si>
    <t>STATUS ON ANNUAL PERFORMANCE as at 30June2021 _ 2020-2021</t>
  </si>
  <si>
    <t>Strategic Programme</t>
  </si>
  <si>
    <t>Targets for the year</t>
  </si>
  <si>
    <t>2020-2021</t>
  </si>
  <si>
    <t>100% or &gt;</t>
  </si>
  <si>
    <t>75% - 99%</t>
  </si>
  <si>
    <t>74.99% or &lt;</t>
  </si>
  <si>
    <t>PROG1</t>
  </si>
  <si>
    <t>PROG2</t>
  </si>
  <si>
    <t>PROG3</t>
  </si>
  <si>
    <t>PROG4</t>
  </si>
  <si>
    <t>TO SUPORT IMPLEMENTATION OF INFRASTRUCTURE PROJECTS IN THE DISTRICT BY 2025</t>
  </si>
  <si>
    <t>Total:</t>
  </si>
  <si>
    <t>SUMMARY ANNUAL PERFORMANCE_2020-2021</t>
  </si>
  <si>
    <t>Annual  Target Spread _ 2020-2021</t>
  </si>
  <si>
    <t>Admin and Support Activities</t>
  </si>
  <si>
    <t>PMU / Core Business</t>
  </si>
  <si>
    <t>STATUS ON ANNUAL PERFORMANCE_ 2021-2022</t>
  </si>
  <si>
    <t>Annual  Target Spread _ 2021-2022</t>
  </si>
  <si>
    <t>SUMMARY ANNUAL PERFORMANCE_2021-2022</t>
  </si>
  <si>
    <t>STATUS ON ANNUAL PERFORMANCE as at 30June2022 _ 2021-2022</t>
  </si>
  <si>
    <t>2021-2022</t>
  </si>
  <si>
    <t>PMU / Core Business / Infra Services</t>
  </si>
  <si>
    <t>Report on Predetermined Objectives</t>
  </si>
  <si>
    <t>Programmes</t>
  </si>
  <si>
    <t>Prog1 - Viable Org</t>
  </si>
  <si>
    <t>Prog2 - Funding and InvPromo</t>
  </si>
  <si>
    <t xml:space="preserve">Prog3 - Viable Rural Econ - Dev Corridors </t>
  </si>
  <si>
    <t xml:space="preserve">Revised APP </t>
  </si>
  <si>
    <t>Nett Adj</t>
  </si>
  <si>
    <t xml:space="preserve">FINAL TARGETS </t>
  </si>
  <si>
    <t>FINAL INDICATORS</t>
  </si>
  <si>
    <t>Audited</t>
  </si>
  <si>
    <t>Variance</t>
  </si>
  <si>
    <t>No variance between management report and audited report</t>
  </si>
  <si>
    <t>Prog4 - Infrastructure CHDM (New at midyear)</t>
  </si>
  <si>
    <t xml:space="preserve">SUMMARY OF AUDITED ANNUAL PERFORMANCE </t>
  </si>
  <si>
    <t>Total targets for the year</t>
  </si>
  <si>
    <t xml:space="preserve">Exceeded as a portion of Achieved targets </t>
  </si>
  <si>
    <t>Exceeded for the year (&gt;100%)</t>
  </si>
  <si>
    <t>Achieved for the year (100% or &gt;)</t>
  </si>
  <si>
    <t>Part achieved for the year (75-99.99%)</t>
  </si>
  <si>
    <t>Not achieved (0-74.99%)</t>
  </si>
  <si>
    <t>PROGRESS ON IMPLEMENTATION OF ADJUSTED APP 2021-2022</t>
  </si>
  <si>
    <t>SUMMARY OF APP AMENDMENTS FOR 2021-2022</t>
  </si>
  <si>
    <t>Prog4 - Infrastructure CHDM</t>
  </si>
  <si>
    <t>* The APP was approved for first time in 02/2022 for the financial year</t>
  </si>
  <si>
    <t xml:space="preserve">Original APP </t>
  </si>
  <si>
    <t>Regression in organisation performance from prior periods:
_2021 (42%)
_2020 (71%)
_2019 (70%)
_2018 (76%)
_2017 (60%)</t>
  </si>
  <si>
    <t>SUMMARY OF APP PROGRESS PER STRATEGIC PROGRAMME_ 2021-2022</t>
  </si>
  <si>
    <t>ANNUAL _ 2021-2022</t>
  </si>
  <si>
    <t>Summary  Performance _ Annual Targets  _ 2019-2020</t>
  </si>
  <si>
    <t>CUMULATIVE PERFORMANCE _ 01/07/2019 - 30/06/2020 AGAINST ANNUAL TARGETS</t>
  </si>
  <si>
    <t>Targets Due for the Year</t>
  </si>
  <si>
    <t>Achieved for the year</t>
  </si>
  <si>
    <t>Part Achieved for the Year</t>
  </si>
  <si>
    <t xml:space="preserve">Not Achieved for the Year </t>
  </si>
  <si>
    <t>Achieved in Excess / Above Required Performance Metric
&gt;100%</t>
  </si>
  <si>
    <t>2019-2020</t>
  </si>
  <si>
    <t>75% - 99.9%</t>
  </si>
  <si>
    <t>75% or &lt;</t>
  </si>
  <si>
    <t>Annual Target Spread _ 2019-2020</t>
  </si>
  <si>
    <r>
      <t>PoE was checked and validated, including:
- GL account for vote 1200&gt;007 (CHDM Own Income - Infrastructure Implementation Fees) with total of R16,207,858.11 as at 30 June 2022
- GL account 8035 (CHDM - Agency Fee Receivables) with a balance of R7,456,380.82 as at 30 June 2022
- CHDM Infrastructure Programme Implementation Support schedule as at 30/06/2022.</t>
    </r>
    <r>
      <rPr>
        <sz val="9"/>
        <color rgb="FF00B0F0"/>
        <rFont val="Arial"/>
        <family val="2"/>
      </rPr>
      <t xml:space="preserve"> However, the total amount reflected under the column "CHDA Implementation Fee @ 10%" was R18,352,945.63. The reconciliation of the variance (R1,145,087.52) between the schedule and the GL account is awaited.</t>
    </r>
    <r>
      <rPr>
        <sz val="9"/>
        <rFont val="Arial"/>
        <family val="2"/>
      </rPr>
      <t xml:space="preserve">
</t>
    </r>
    <r>
      <rPr>
        <sz val="9"/>
        <color rgb="FF00B0F0"/>
        <rFont val="Arial"/>
        <family val="2"/>
      </rPr>
      <t xml:space="preserve">Internal Audit states that the planned target set of R6.5m was not realistic, hence it was exceeded materially. An approved infrastructure procurement plan for the year would provide a more realistic own revenue target for the 2022/23 year.
The CHDA's mandate to include the implementation of infrastructure projects on behalf of CHDM has not yet been included in the Memorandum of Incorporation (MOI). 
</t>
    </r>
    <r>
      <rPr>
        <i/>
        <sz val="9"/>
        <color rgb="FF00B0F0"/>
        <rFont val="Arial"/>
        <family val="2"/>
      </rPr>
      <t>This matter was reported on during the review of the 2020/21 APR.</t>
    </r>
  </si>
  <si>
    <t>Management comment is noted and the matter is resolved. Internal Audit recalculated the VAT inclusive amount and confirmed an amount of R18,639,036.83. The variance with the amount of R18,352,945.63. on the schedule was immaterial.
Internal Audit further reviewed the documentation subsequently provided including the following:
- CHDM Guarantee Letter_Budget Approval_Shortfall_2021-22
Infrastructure Confirmation Letter - CHDM
- C1010. Report on Amended Budget Funding Plan</t>
  </si>
  <si>
    <r>
      <t xml:space="preserve">PoE was checked and validated, including:
- GL account for vote 1200&gt;007 (CHDM Own Income - Infrastructure Implementation Fees) with total of R16,207,858.11 as at 30 June 2022
- GL account 8035 (CHDM - Agency Fee Receivables) with a balance of R7,456,380.82 as at 30 June 2022
- CHDM Infrastructure Programme Implementation Support schedule as at 30/06/2022. </t>
    </r>
    <r>
      <rPr>
        <sz val="9"/>
        <color rgb="FF00B0F0"/>
        <rFont val="Arial"/>
        <family val="2"/>
      </rPr>
      <t>However, the total amount reflected under the column "CHDA Implementation Fee @ 10%" was R18,352,945.63. The reconciliation of the variance (R1,145,087.52) between the schedule and the GL account is awaited.</t>
    </r>
    <r>
      <rPr>
        <sz val="9"/>
        <rFont val="Arial"/>
        <family val="2"/>
      </rPr>
      <t xml:space="preserve">
</t>
    </r>
    <r>
      <rPr>
        <sz val="9"/>
        <color rgb="FF00B0F0"/>
        <rFont val="Arial"/>
        <family val="2"/>
      </rPr>
      <t xml:space="preserve">Internal Audit states that the planned target set of R6.5m was not realistic, hence it was exceeded materially. An approved infrastructure procurement plan for the year would provide a more realistic own revenue target for the 2022/23 year.
The CHDA's mandate to include the implementation of infrastructure projects on behalf of CHDM has not yet been included in the Memorandum of Incorporation (MOI). 
</t>
    </r>
    <r>
      <rPr>
        <i/>
        <sz val="9"/>
        <color rgb="FF00B0F0"/>
        <rFont val="Arial"/>
        <family val="2"/>
      </rPr>
      <t>This matter was reported on during the review of the 2020/21 APR.</t>
    </r>
  </si>
  <si>
    <r>
      <rPr>
        <b/>
        <sz val="9"/>
        <rFont val="Arial"/>
        <family val="2"/>
      </rPr>
      <t>Management disagrees with the finding</t>
    </r>
    <r>
      <rPr>
        <sz val="9"/>
        <rFont val="Arial"/>
        <family val="2"/>
      </rPr>
      <t xml:space="preserve">
1) The difference is the VAT component charged on all agency fees at 15%.  The schedule is VAT-inclusive at R18m, but the GL is VAT-exclusive at R16m - the difference is what CHDA pays over to SARS in output VAT
2) The GL looks at movement in period 1/7/2021-30/6/2022 - the schedule is multi-year, and may include a component relating to period ending 30 June 2021 which has already been disclosed in the GL / AFS 2021
3) The realisticness of the target is reasonable to management.  The CHDM was able to confirm only R2.5m in the budget of 2021/2022 in agency fees, and this was adjusted to the 10% of actual project value implemented at mid-year to reduce the variance during budget adjustment.</t>
    </r>
  </si>
  <si>
    <t>None</t>
  </si>
  <si>
    <t>PoE was checked and validated, including:
- Department of Employment &amp; Labour (UIF) approval of CHDA Application for Job Creation Funding for 490 employment positions dated 13/12/2021 with an amount of R72,889,584.39. 
- email correspodence between CHDA and UIF during Q3
- CETA Notification of approval to commence CETA Training dated 30/05/2022 for 9 interns with a total budget of R450,000
- LGSETA Funding Agreement dated 08/03/2022 (but effective from Q4) for an amount of R700,000
- LGSETA Funding Agreement dated 31/03/2022 for an amount of R140,000
- LGSETA Acknowledgement of receipt of Worklace Skills Plan 2022/23 and Annual Training Report 2021/22 submissions dated 30/04/2022
- DEDEAT confirmation of receipt of LRED application for Mayime Winery dated 30/06/2022 and application form for an amount of R32,602,500
- DEDEAT confirmation of receipt of LRED application for Mitrock Agricultural Production Co-op dated 30/06/2022 and application form for an amount of R500,000
- DEDEAT confirmation of receipt of LRED application for Molteno Biltong Primary Agricultural Co-op dated 04/07/2022 and application form. However, the application form was blank and there was outstanding information not submitted to DEDEAT.</t>
  </si>
  <si>
    <t>PoE was checked and validated, including:
- Department of Employment &amp; Labour (UIF) approval of CHDA Application for Job Creation Funding for 490 employment positions dated 13/12/2021 with an amount of R72,889,584.39. 
- email correspodence between CHDA and UIF during Q3
- CETA Notification of approval to commence CETA Training dated 30/05/2022 for 9 interns with a total budget of R450,000
- LGSETA Funding Agreement dated 08/03/2022 (but effective from Q4) for an amount of R700,000
- LGSETA Funding Agreement dated 31/03/2022 for an amount of R140,000
- LGSETA Acknowledgement of receipt of Worklace Skills Plan 2022/23 and Annual Training Report 2021/22 submissions dated 30/04/2022</t>
  </si>
  <si>
    <t xml:space="preserve">1 x communications startegy developed but not approved, due to delays in consultation with staff - later approved in the year before end 06/2022
</t>
  </si>
  <si>
    <t>The documentation supporting the following achievement and/or progress was not included in the PoE:
- 1 pre-summit engagement breakfast with industrialists held on 15/6/2022 (per amended Q4 &amp; APR). The attached attendance register to KIP business breakfast held to engage industrialists was dated 20/01/2022, which was in Q1. 
The following PoE was subsequently provided via email on 20/08/2022:
- notes and attendance register to Pre-Summit Breakfast session held at Queens Casino &amp; Hotel-Koman on 15/06/2022</t>
  </si>
  <si>
    <t>Management agrees to finding - see updated POE on session held 15/06/2022</t>
  </si>
  <si>
    <t>Management comment is noted and the supporitng documentation provided was reviewed. The matter is resolved and will not be reported on further.</t>
  </si>
  <si>
    <r>
      <t xml:space="preserve">PoE was checked and validated, including:
- VSL Manufacturing (Pty) Ltd - Business Plan which shows, </t>
    </r>
    <r>
      <rPr>
        <i/>
        <sz val="9"/>
        <rFont val="Arial"/>
        <family val="2"/>
      </rPr>
      <t>inter alia</t>
    </r>
    <r>
      <rPr>
        <sz val="9"/>
        <rFont val="Arial"/>
        <family val="2"/>
      </rPr>
      <t xml:space="preserve">, that the company was was established in 2018 and requires a total capital requirement of R37,505,043
- AL-ASR Collection Retailers CC letter dated 28/06/2021 to CHDA with the proposed monthly rental of R4,500 for erf 2047
</t>
    </r>
    <r>
      <rPr>
        <sz val="9"/>
        <color rgb="FFFF0000"/>
        <rFont val="Arial"/>
        <family val="2"/>
      </rPr>
      <t xml:space="preserve">Internal Audit was unable to reconcile the PoE to the 2021/22 annual target of "R27.5 million facilitated in investments in development corridors"
</t>
    </r>
    <r>
      <rPr>
        <sz val="9"/>
        <rFont val="Arial"/>
        <family val="2"/>
      </rPr>
      <t xml:space="preserve">Management stated the following in response:
- VSL Manufacturing: R37 million investment by VSL in October 2021 for manufacturing of Isuzu Body Parts. 
- AL-ASR Collection Retailers: R20 million investment in June 2022 for manufacturing of Furniture and Fence
</t>
    </r>
    <r>
      <rPr>
        <sz val="9"/>
        <color rgb="FFFF0000"/>
        <rFont val="Arial"/>
        <family val="2"/>
      </rPr>
      <t xml:space="preserve">However, Internal Audit states the following:
- the VSL Manufacturing dcumentation submitted was a business plan, with no indication on whether such was approved by a funder or not. Further, the business plan indicated that "We have had non-formal indication from Isuzu that they are desperately looking for another supplier, and that they would source their business to us when we are fully operational." Internal Audit can not confirm that such planned investment has materialised in the region. Lastly, the CHDA's facilitation of such planned investment is not recorded or the related PoE is not provided.
- the AL-ASR Collection Retailers documentation was a proposal for monthly rental of R4,500 for erf 2047, and comments that they have, </t>
    </r>
    <r>
      <rPr>
        <i/>
        <sz val="9"/>
        <color rgb="FFFF0000"/>
        <rFont val="Arial"/>
        <family val="2"/>
      </rPr>
      <t>inter alia</t>
    </r>
    <r>
      <rPr>
        <sz val="9"/>
        <color rgb="FFFF0000"/>
        <rFont val="Arial"/>
        <family val="2"/>
      </rPr>
      <t>, built a new office block valued at R2 million. Internal Audit can not confirm the investment of R20 million from the PoE provided.</t>
    </r>
  </si>
  <si>
    <t>The email from management included the same PoE as was provided previously. The matter remains and will be reported in the IA report.</t>
  </si>
  <si>
    <t xml:space="preserve">PoE was checked and validated, including:
- a signed schedule with 5 lease agreements signed during the period
- 5 lease agreements signed between CHDA and tenants at KIP
The 5 lease agreements are as follows:
- AL ASR - erven 2042 and 2043 - 20 years - R10 per square metre
- SZMA Trading - erf 2046 - 5 years - R10 per square metre
- GoGreen Roto Plastic Moulding - erf 2044 - 20 years - R10 per square metre.
- Ayzo T Holdings - erf 2040 - 2 years -  - R10 per square metre
Setup Technologies - erf 2048 - month-to-month - R10 per square metre </t>
  </si>
  <si>
    <t>PoE was checked and validated, including:
- a signed schedule with 5 lease agreements signed during the period
- 5 lease agreements signed between CHDA and tenants at KIP</t>
  </si>
  <si>
    <t>PoE was checked and validated, including:
- under indicator 10.1.1 (SG3) 6 BkB Ltd tax invoices from 6 wool shearing sheds showing a total weight of 21 tons of wool sales made amounting to R1,352,920.13 on behalf of the Wool farmers. This was less than the targeted R2.2m sales.
Further, the following PoE which related to Q3 was provided:
3 commercialisation strategies for beef (dated February 2022), grain for fodder (dated January 2022) and co-op farmers (dated June 2022)</t>
  </si>
  <si>
    <t>PoE was checked and validated, including:
- under indicator 10.1.1 (SG3) 6 BkB Ltd tax invoices from 6 wool shearing sheds showing a total weight of 21 tons of wool sales made amounting to R1,352,920.13 on behalf of the Wool farmers. This was less than the targeted R2.2m sales.</t>
  </si>
  <si>
    <t xml:space="preserve">Dilapidated infrastructure at KIP, vandalism and need for security upgrades, as well as challneges with water/electricity 
bulk infrastructure challenges deter investors
Need to establish market related rentals as basis of lease negotiations
</t>
  </si>
  <si>
    <r>
      <rPr>
        <b/>
        <sz val="9"/>
        <color theme="1"/>
        <rFont val="Arial"/>
        <family val="2"/>
      </rPr>
      <t>Achieved</t>
    </r>
    <r>
      <rPr>
        <sz val="9"/>
        <color theme="1"/>
        <rFont val="Arial"/>
        <family val="2"/>
      </rPr>
      <t xml:space="preserve">
5 new tenants secured for KIP in the period thus far, but lease not signed by end Q3/2022 
</t>
    </r>
  </si>
  <si>
    <t xml:space="preserve">A rental valuation exercise has been conducted to determine market related rental rates for the KIP 
A critical infrastriucture assessment is in progress  for KIP for bulk infrastructure challenges 
</t>
  </si>
  <si>
    <t xml:space="preserve">Achieved Above Required Perfromance Metric </t>
  </si>
  <si>
    <t xml:space="preserve">3 x market commercialisation startegies developed for co-op, fodder and grain market entry </t>
  </si>
  <si>
    <t xml:space="preserve">CHDA not directly responsible for rate of  approval as this is third-party reliant, based on evaluation and funding criteria 
CHDA cannot always control funding windows for submission of applications
</t>
  </si>
  <si>
    <t xml:space="preserve">1 x pre-summit engagement breakfast with industrialists held on 15/6/2022 
Branding and Communication Strategy was approved by the Governance Committee and noted by the Board. Funding and Investmest Strategy was approved by Finance and Invstment Committee.
R57m in recorded investments from VSl (Isuzu car part manufacturing) and R 20m from AL-ASR 
</t>
  </si>
  <si>
    <t xml:space="preserve">Management comments in progress with applicable department </t>
  </si>
  <si>
    <t>5.1.4</t>
  </si>
  <si>
    <r>
      <t>32 youth in CETA apprenticeship programmes (Ngcobo and Inxuba Yethemba) in the quarter - new porogramme commenced with additional 22 beneficiaries / Emalahleni Carpentry appre</t>
    </r>
    <r>
      <rPr>
        <sz val="9"/>
        <color rgb="FF00B050"/>
        <rFont val="Arial"/>
        <family val="2"/>
      </rPr>
      <t>c</t>
    </r>
    <r>
      <rPr>
        <sz val="9"/>
        <color theme="1"/>
        <rFont val="Arial"/>
        <family val="2"/>
      </rPr>
      <t>nticeship</t>
    </r>
  </si>
  <si>
    <r>
      <t>Challenge with drop-out rate due to late payment by Seta resulting in delays in payment of learner stipends, new job prospects
Changes in claim process</t>
    </r>
    <r>
      <rPr>
        <sz val="9"/>
        <color rgb="FF00B050"/>
        <rFont val="Arial"/>
        <family val="2"/>
      </rPr>
      <t>s</t>
    </r>
    <r>
      <rPr>
        <sz val="9"/>
        <color theme="1"/>
        <rFont val="Arial"/>
        <family val="2"/>
      </rPr>
      <t xml:space="preserve">ing by Seta has affected turnaround time on payment processing </t>
    </r>
  </si>
  <si>
    <r>
      <t>Expenditure on tools, stipends for learners and training provider costs 
(The adjusted budget only accom</t>
    </r>
    <r>
      <rPr>
        <sz val="9"/>
        <color rgb="FF00B050"/>
        <rFont val="Arial"/>
        <family val="2"/>
      </rPr>
      <t>p</t>
    </r>
    <r>
      <rPr>
        <sz val="9"/>
        <color theme="1"/>
        <rFont val="Arial"/>
        <family val="2"/>
      </rPr>
      <t>dates CETA programmes active at adj stage - excluded new carpentry and two new LGSETA programmes approved for funding end 03/2022)</t>
    </r>
  </si>
  <si>
    <r>
      <t xml:space="preserve">PoE was checked and validated, including:
- GL account for vote 2236 (CETA Apprenticeship Grant Expenditure) with total of R847,048 as at 31 March 2022.
- Payment vouchers for the monthly payment 2021/22 stipends to apprenticees, with signed Internal CHDA Memo motivation for stipend, payroll schedule and attendance registers.
- Q4-2021/22 Reports for Ngcobo Bricklaying, Inxuba Yethemba Bricklaying and Emalahleni Carpentry
- signed 2021/22 attendance registers for the apprentincees
- signed CETA Training Services Agreement for Bricklaying between CHDA and East Cape Training Centre dated 14 January 2021
- ID copies of the youth
</t>
    </r>
    <r>
      <rPr>
        <sz val="9"/>
        <color rgb="FF00B0F0"/>
        <rFont val="Arial"/>
        <family val="2"/>
      </rPr>
      <t>The following PoE was not included:
- agreement with MMS Developments
- summary list of all participants (with name and ID number), including those who dropped out during the year and their replacements
- agreement signed with each apprentice, if applicable/feasible</t>
    </r>
  </si>
  <si>
    <r>
      <rPr>
        <b/>
        <sz val="9"/>
        <rFont val="Arial"/>
        <family val="2"/>
      </rPr>
      <t xml:space="preserve">Management agrees with IA finding
</t>
    </r>
    <r>
      <rPr>
        <sz val="9"/>
        <rFont val="Arial"/>
        <family val="2"/>
      </rPr>
      <t xml:space="preserve">
_No agreement with MMS Developments in place - a letter has been included instead - the training provider is usually appointed directly by the CETA
_No summary listing but all ID copies per site have been included in POE, with payment vouchers comprising of monthly analytics and registers per month that have been verified by the CETA for payment of stipends - no replaceemnt allowed duting the programme as CETA does a selection in line with acceptance criteria at start of programme
_No contracts as participants enter into contracts with the CETA directly and not CHDA</t>
    </r>
  </si>
  <si>
    <t>Management comment is noted and the matter is resolved, and will not be reported on further.
Internal Audit will however urge management to:
- obtain the file copies of contracts with their interns
- prepare a summary list of youth interns in the CETA programmes.</t>
  </si>
  <si>
    <t>Achieved Above Required Perfromance Metric</t>
  </si>
  <si>
    <r>
      <t xml:space="preserve">PoE was checked and validated, including:
- GL account for vote 2236 (CETA Apprenticeship Grant Expenditure) with total of R1,419,935.52 as at 30 June 2022. However, the year-end expenditure exceeds the original budget fof R1,025,062,50 and adjusted budget of R847,048. The documentary evidence of virements effected was not attached to PoE.
- Payment vouchers for the monthly payment 2021/22 stipends to apprenticees, with signed Internal CHDA Memo motivation for stipend, payroll schedule and attendance registers.
- Q4-2021/22 Reports for Ngcobo Bricklaying, Inxuba Yethemba Bricklaying and Emalahleni Carpentry
- signed 2021/22 attendance registers for the apprentincees
- signed CETA Training Services Agreement for Bricklaying between CHDA and East Cape Training Centre dated 14 January 2021
- ID copies of the youth
</t>
    </r>
    <r>
      <rPr>
        <sz val="9"/>
        <color rgb="FF00B0F0"/>
        <rFont val="Arial"/>
        <family val="2"/>
      </rPr>
      <t>The following PoE was not included:
- agreement with MMS Developments
- summary list of all participants (with name and ID number), including those who dropped out during the year and their replacements
- agreement signed with each apprentice, if applicable/feasible</t>
    </r>
  </si>
  <si>
    <t xml:space="preserve">Management comment is noted and the matter is resolved, and will not be reported on further.
Internal Audit will however urge management to:
- obtain the file copies of contracts with their interns
- prepare a summary list of youth interns in the CETA programmes.
</t>
  </si>
  <si>
    <r>
      <t>Identify additional sources of bursary funds to support local youth in tertiary studies
Fast track commen</t>
    </r>
    <r>
      <rPr>
        <sz val="9"/>
        <color rgb="FF00B050"/>
        <rFont val="Arial"/>
        <family val="2"/>
      </rPr>
      <t>cm</t>
    </r>
    <r>
      <rPr>
        <sz val="9"/>
        <color theme="1"/>
        <rFont val="Arial"/>
        <family val="2"/>
      </rPr>
      <t xml:space="preserve">ent of approved bursary agreements from LGSETA (2) for Agriculture and LG Finance targetted at 13 students with combined approved funding support of R910k </t>
    </r>
  </si>
  <si>
    <t>There was no youth under CHDA bursary support fund
The PoE attached in relation to progress being made by the end of Q4  towards the achievement of the annual target was checked and validated, including:
- CHDM letter dated 28 May 2021 "Guarantee on Operating Budget 2021-2022" confirmation that there was no budget approved for the CHDM - Bursary Administration Grant.
- GL account 2220&gt;001 CHDM Bursary Fund Expenditure for the period ending 30/06/2022 amounting to amounting to R0.
- LGSETA letter dated 04/03/2022 declaring an intent to approve CHDA's application for Discretionary Funding for 11 bursaries for agriculture (and amounting to R770k) and 2 bursaries in local government finance (and amounting to R140k)
- 2 approved LGSETA Funding Agreements for bursaries in Agriculture and local government finance, signed as at 31/03/2022.
- 11 completed and signed LGSETA Learner Enrolment Forms</t>
  </si>
  <si>
    <t>There was no youth under CHDA bursary support fund
The PoE attached in relation to progress being made by year end towards the achievement of the annual target was checked and validated, including:
- CHDM letter dated 28 May 2021 "Guarantee on Operating Budget 2021-2022" confirmation that there was no budget approved for the CHDM - Bursary Administration Grant.
- GL account 2220&gt;001 CHDM Bursary Fund Expenditure for the period ending 30/06/2022 amounting to amounting to R0.
- LGSETA letter dated 04/03/2022 declaring an intent to approve CHDA's application for Discretionary Funding for 11 bursaries for agriculture (and amounting to R770k) and 2 bursaries in local government finance (and amounting to R140k)
- 2 approved LGSETA Funding Agreements for bursaries in Agriculture and local government finance, signed as at 31/03/2022.
- 11 completed and signed LGSETA Learner Enrolment Forms</t>
  </si>
  <si>
    <r>
      <t xml:space="preserve">PoE was checked and validated, including:
- GL account 2220&gt;002 Career Exhibitions, Skills Development and Artisan Support for the period ending 30/06/2022 amounting to R49,195.27
- Minutes of the skills development forum meeting held at Emalahleni Boardroom on 19 May 2022. </t>
    </r>
    <r>
      <rPr>
        <sz val="9"/>
        <color rgb="FF00B0F0"/>
        <rFont val="Arial"/>
        <family val="2"/>
      </rPr>
      <t xml:space="preserve">However, the attendance register for the skills development forum was not attached to the PoE. </t>
    </r>
    <r>
      <rPr>
        <sz val="9"/>
        <color theme="1"/>
        <rFont val="Arial"/>
        <family val="2"/>
      </rPr>
      <t xml:space="preserve">
- Post seminar report and attendance register for teacher career seminar held at Sakhisizwe Skills Centre/Ntsokotha High School on 28 April 2022
- Post seminar report and attendance register for learner career seminar held at Sakhisizwe Skills Centre/Ntsokotha High School on 28 April 2022
- attendance register for teacher career seminar
</t>
    </r>
    <r>
      <rPr>
        <b/>
        <sz val="9"/>
        <color rgb="FFFF0000"/>
        <rFont val="Arial"/>
        <family val="2"/>
      </rPr>
      <t>The "Performance Summary Q4 30Jun2022" should reflect a status of "Achieved" instead of "Achieved Above Required Performance Metric"</t>
    </r>
  </si>
  <si>
    <r>
      <rPr>
        <b/>
        <sz val="9"/>
        <rFont val="Arial"/>
        <family val="2"/>
      </rPr>
      <t>Management agrees with IA finding</t>
    </r>
    <r>
      <rPr>
        <sz val="9"/>
        <rFont val="Arial"/>
        <family val="2"/>
      </rPr>
      <t xml:space="preserve">
_There is an attendance register on file, and must have been missed in inclusion with the minutes - will attach and resubmit for review 
_The over-achievement is that (9+4 = 13) items were achieved / held over 12 planned career skills events for the year </t>
    </r>
  </si>
  <si>
    <r>
      <rPr>
        <sz val="9"/>
        <color rgb="FF00B0F0"/>
        <rFont val="Arial"/>
        <family val="2"/>
      </rPr>
      <t>Management comment is noted. The matter relating to the attendance register will be resolved and not reported further, when such is provided to Internal Audit to review.</t>
    </r>
    <r>
      <rPr>
        <sz val="9"/>
        <rFont val="Arial"/>
        <family val="2"/>
      </rPr>
      <t xml:space="preserve">
</t>
    </r>
    <r>
      <rPr>
        <sz val="9"/>
        <color rgb="FFFF0000"/>
        <rFont val="Arial"/>
        <family val="2"/>
      </rPr>
      <t>The matter raised on over-achievement related to Q4 performance status only and not to the APR performance status. Internal Audit agrees with the overachievement for Q4 but not with Q4. Internal Audit confirmed 2 career seminars and 1 skills development forum, in line with the quarterly target.
The matter will be raised in the Internal Audit Report, where the Q4 performance status is not changed to "Achieved"</t>
    </r>
  </si>
  <si>
    <r>
      <t xml:space="preserve">PoE was checked and validated, including:
- GL account 2220&gt;002 Career Exhibitions, Skills Development and Artisan Support for the period ending 30/06/2022 amounting to R49,195.27
- post seminar reports and attendance registers for the 13 events (skills development fora, teacher and learner career seminars) held during the year.
</t>
    </r>
    <r>
      <rPr>
        <sz val="9"/>
        <color rgb="FF00B0F0"/>
        <rFont val="Arial"/>
        <family val="2"/>
      </rPr>
      <t>However, the following was not attached to the PoE:
- attendance register for the skills development forum meeting held at Emalahleni Boardroom on 19 May 2022</t>
    </r>
  </si>
  <si>
    <t>Management comment is noted. The matter relating to the attendance register will be resolved and not reported further, when such is provided to Internal Audit to review.</t>
  </si>
  <si>
    <r>
      <t xml:space="preserve">PoE was checked and validated, including:
- physical and virtual meeting attendance register for 35 SMMEs attending the FNB/COGTA/CHDA SMME Incubator programme on 20 July 2021 at Sakhisizwe Municipality.
- CHDA letter dated 09 July 2021 to local municipalities requesting venues with WI-Fi
However, the following was not attached to the PoE:
- list of SMMEs who attended (total number of attendees) and their respective business name. The target is specific to a number, and the PoE should link to such number
- Incubation programme MoU/MoA with FNB and/or COGTA (or Black Umbrella MoU/MoA)
</t>
    </r>
    <r>
      <rPr>
        <sz val="9"/>
        <color rgb="FF00B0F0"/>
        <rFont val="Arial"/>
        <family val="2"/>
      </rPr>
      <t>The following information was subsequently provided via email:
- ECDC Black Umbrella Business Accelerator Programme reports for the periods 01 June 2021 – 30 September 2021 and 01 September 2021 – 30 November 2021
- virtual meeting attendance registers. One has 37 business attendees, with owner and business names recorded. 
- terms of reference for the Business Accelerator Programme dated 20 August 2021. Par 5.5 states that the CHDA is a committee member/instiution and its responsibility is to provide an in-kind support on programme implementation.
- minutes to Business Accelerator Programme meeting 4 held on 04 November 2021</t>
    </r>
  </si>
  <si>
    <r>
      <rPr>
        <b/>
        <sz val="9"/>
        <rFont val="Arial"/>
        <family val="2"/>
      </rPr>
      <t>Management agrees with IA finding</t>
    </r>
    <r>
      <rPr>
        <sz val="9"/>
        <rFont val="Arial"/>
        <family val="2"/>
      </rPr>
      <t xml:space="preserve">
The POE for the line item was provided after report submitted for audit - the POE is thus annexed to this report for review withd etails of programmes, virtual training attendance registers and training reports </t>
    </r>
  </si>
  <si>
    <t xml:space="preserve">Management comment is noted and the matter is resolved, and will not be reported on further.
Internal Audit will however urge management to file all PoE timeously.
</t>
  </si>
  <si>
    <r>
      <t>PoE was checked and validated, including:
- Internship contracts of employment, signed by both intern and CEO, for 11 interns.
- CETA Notification letter of approval to CHDA dated 30 May 2022 to commence CETA Training for 9 approved learners.
- ID copies of the 8 learners
- signed attendance registers for June 2022</t>
    </r>
    <r>
      <rPr>
        <sz val="9"/>
        <color rgb="FF00B0F0"/>
        <rFont val="Arial"/>
        <family val="2"/>
      </rPr>
      <t xml:space="preserve">
</t>
    </r>
    <r>
      <rPr>
        <sz val="9"/>
        <color rgb="FFFF0000"/>
        <rFont val="Arial"/>
        <family val="2"/>
      </rPr>
      <t xml:space="preserve">
However, the following was not included in the PoE:</t>
    </r>
    <r>
      <rPr>
        <sz val="9"/>
        <color rgb="FF00B0F0"/>
        <rFont val="Arial"/>
        <family val="2"/>
      </rPr>
      <t xml:space="preserve">
</t>
    </r>
    <r>
      <rPr>
        <sz val="9"/>
        <color rgb="FFFF0000"/>
        <rFont val="Arial"/>
        <family val="2"/>
      </rPr>
      <t>- Sage VIP Payroll registers reflecting the salary slips of the interns for the months April to June 2022
- the reason for the variance between the  9 approved learners per the CETA Notification letter and the 8 reflected under Q4 and APR reporting ("8 in the youth in CETA-funded internship / job placement programme").
- the names of the 9 learners per CETA Notification letter. As a result the names could not be verified against the names in the attendance registers for Civil Engineering Interns.
- the Civil Engineering qualifications of the learners were not included in the PoE.
- the signed internship contract for Silindokuhle Fata dated 01 September 2020 was included in the PoE, but such name was not included in the list of "11 x interns on CHDA internship programme" on the CHDA internship programme under column AJ.</t>
    </r>
  </si>
  <si>
    <r>
      <rPr>
        <b/>
        <sz val="9"/>
        <rFont val="Arial"/>
        <family val="2"/>
      </rPr>
      <t>Management agrees with IA finding</t>
    </r>
    <r>
      <rPr>
        <sz val="9"/>
        <rFont val="Arial"/>
        <family val="2"/>
      </rPr>
      <t xml:space="preserve">
The POE includes pay registers for the first half of the year as the interns paid as part of CHDA payroll - the payroll records will be available for inspection with POE for 04/2022-06/2022
S Fata was part of intake, and his file available for inspection - he is also in the payroll records provided please verify. - this has been updated in the report
There is thus a required restatement to 12 vs 11 CHDA interns in the period
The CETA approval letter or documents are correct and thus a required restatement of 9 vs 8 CETA interns is required</t>
    </r>
  </si>
  <si>
    <r>
      <rPr>
        <sz val="9"/>
        <color rgb="FF00B0F0"/>
        <rFont val="Arial"/>
        <family val="2"/>
      </rPr>
      <t>Management comment is noted regarding the payrolls for the period April to June 2022. The payrolls were subsequently included with the PoE and the matter is resolved, and will not be reported on further.</t>
    </r>
    <r>
      <rPr>
        <sz val="9"/>
        <color rgb="FFFF0000"/>
        <rFont val="Arial"/>
        <family val="2"/>
      </rPr>
      <t xml:space="preserve">
Management comment is noted regarding the variances in intern numbers and corrections to be made on the amended Q4 and APR. The matter will be raised in the Internal Audit Report. 
Internal Audit will review the amendments made in the respective Q4 and APR</t>
    </r>
  </si>
  <si>
    <r>
      <t xml:space="preserve">PoE was checked and validated, including:
- monthly Sage VIP Payroll registers reflecting the salary slips of the interns for the period July 2021 to March 2022
- Internship contracts of employment, signed by both intern and CEO, for 11 interns.
- CETA Notification letter of approval to CHDA dated 30 May 2022 to commence CETA Training for 9 approved learners.
- ID copies of the 8 learners
- signed attendance registers for June 2022
</t>
    </r>
    <r>
      <rPr>
        <sz val="9"/>
        <color rgb="FFFF0000"/>
        <rFont val="Arial"/>
        <family val="2"/>
      </rPr>
      <t xml:space="preserve">
However, the following was not included in the PoE:</t>
    </r>
    <r>
      <rPr>
        <sz val="9"/>
        <color rgb="FF00B0F0"/>
        <rFont val="Arial"/>
        <family val="2"/>
      </rPr>
      <t xml:space="preserve">
</t>
    </r>
    <r>
      <rPr>
        <sz val="9"/>
        <color rgb="FFFF0000"/>
        <rFont val="Arial"/>
        <family val="2"/>
      </rPr>
      <t>- Sage VIP Payroll registers reflecting the salary slips of the interns for the months April to June 2022
- the reason for the variance between the  9 approved learners per the CETA Notification letter and the 8 reflected under Q4 and APR reporting ("8 in the youth in CETA-funded internship / job placement programme"). 
- the names of the 9 learners per CETA Notification letter. As a result the names could not be verified against the names in the attendance registers for Civil Engineering Interns.
- the Civil Engineering qualifications of the learners.
- the signed internship contract for Silindokuhle Fata dated 01 September 2020 was included in the PoE, but such name was not included in the list of "11 x interns on CHDA internship programme" on the CHDA internship programme under column AJ</t>
    </r>
  </si>
  <si>
    <t>Management comment is noted regarding the variances in intern numbers and corrections to be made on the amended Q4 and APR. The matter will be raised in the Internal Audit Report. 
Internal Audit will review the amendments made in the respective Q4 and APR</t>
  </si>
  <si>
    <r>
      <t>DRDAR payroll records
Infrastructure project contractor EPWP payroll r</t>
    </r>
    <r>
      <rPr>
        <sz val="9"/>
        <color rgb="FF00B050"/>
        <rFont val="Arial"/>
        <family val="2"/>
      </rPr>
      <t>ee</t>
    </r>
    <r>
      <rPr>
        <sz val="9"/>
        <color rgb="FF000000"/>
        <rFont val="Arial"/>
        <family val="2"/>
      </rPr>
      <t>cords</t>
    </r>
  </si>
  <si>
    <r>
      <t xml:space="preserve">The following PoE was checked and validated, including:
- GL account 2201 ECDRDAR - Project Implementation Expenditure with an amount of R1,988,538.48 as at 30 June 2022
- FNB proof of payroll salary payment printouts for April to June 2022 for 20 DRDAR job recipients
- GL account 9012 Salaries + Wages Control-ECDRDAR showing expenditure with R0 balance as at 14/04/2022
- CHDM Infrastructure Projects Labour Report for the year, showing a total 764 job opportunities (303 youth and 464 adults)
- CHDA Summary reports on Conditional Grant Spending (on projects transferred from CHDM) for January to June 2022
</t>
    </r>
    <r>
      <rPr>
        <sz val="9"/>
        <color rgb="FFFF0000"/>
        <rFont val="Arial"/>
        <family val="2"/>
      </rPr>
      <t>However, the following was not included in the PoE:
- a link between the CHDM Infrastructure Projects Labour Report and the CHDA projects. 
- the number of jobs created per project on the CHDA Summary report on Conditional Grant Spending
- the signed contracts/job labour schedules/payroll records for the infrastructure job opportunities or confirmations from the respective project contractors appointing the recipients
Internal Audit was unable to verify the reported 245 job opportunities for the quarter, nor the other 3 quarters of the year.</t>
    </r>
  </si>
  <si>
    <r>
      <rPr>
        <b/>
        <sz val="9"/>
        <rFont val="Arial"/>
        <family val="2"/>
      </rPr>
      <t>Management agrees with the finding</t>
    </r>
    <r>
      <rPr>
        <sz val="9"/>
        <rFont val="Arial"/>
        <family val="2"/>
      </rPr>
      <t xml:space="preserve">
The EPWP report is provided by the CHDM, as custodian of the projects, and they submit a summary report on jobs created to CHDA  PMU Manager.  CHDA does not compile the information directly from EPWP records as the contractors report directly to CHDM on EPWP matters and CHDA gets a summary of this report, work registers, and site job records including payroll records from the contractors as payroll not effected by CHDA 
CHDA can get a stamped confirmation of the numbers in a CHDM letterhead. </t>
    </r>
  </si>
  <si>
    <t>Management comment is noted that the PoE information resides with CHDM. Internal Audit is unable to confirm the reported number of jobs and accordingly the matter will be reported in the Internal Audit report.</t>
  </si>
  <si>
    <r>
      <t xml:space="preserve">The following PoE was checked and validated, including:
- GL account 2201 ECDRDAR - Project Implementation Expenditure with an amount of R1,988,538.48 as at 30 June 2022
- FNB proof of payroll salary payment printouts for April to June 2022 for 20 DRDAR job recipients
- GL account 9012 Salaries + Wages Control-ECDRDAR showing expenditure with R0 balance as at 14/04/2022
- CHDM Infrastructure Projects Labour Report for the year, showing a total 764 job opportunities (303 youth and 464 adults)
- CHDA Summary reports on Conditional Grant Spending (on projects transferred from CHDM) for January to June 2022
</t>
    </r>
    <r>
      <rPr>
        <sz val="9"/>
        <color rgb="FFFF0000"/>
        <rFont val="Arial"/>
        <family val="2"/>
      </rPr>
      <t>However, the following was not included in the PoE:
- a link between the CHDM Infrastructure Projects Labour Report and the CHDA projects. 
- the number of jobs created per project on the CHDA Summary reports on Conditional Grant Spending
- the signed contracts/job labour schedules/payroll records for the infrastructure job opportunities or confirmations from the respective project contractors appointing the recipients
Internal Audit was unable to verify the reported 794 job opportunities for the year, nor the quarterly numbers.</t>
    </r>
  </si>
  <si>
    <r>
      <t>Cancel the existing contract and pursue ot</t>
    </r>
    <r>
      <rPr>
        <sz val="9"/>
        <color rgb="FF00B050"/>
        <rFont val="Arial"/>
        <family val="2"/>
      </rPr>
      <t>hr</t>
    </r>
    <r>
      <rPr>
        <sz val="9"/>
        <color theme="1"/>
        <rFont val="Arial"/>
        <family val="2"/>
      </rPr>
      <t xml:space="preserve"> avenues to undergo required studies through alternate methods for  the Molteno-Indwe coal mining in</t>
    </r>
    <r>
      <rPr>
        <sz val="9"/>
        <color rgb="FF00B050"/>
        <rFont val="Arial"/>
        <family val="2"/>
      </rPr>
      <t>ia</t>
    </r>
    <r>
      <rPr>
        <sz val="9"/>
        <color theme="1"/>
        <rFont val="Arial"/>
        <family val="2"/>
      </rPr>
      <t xml:space="preserve">tive </t>
    </r>
  </si>
  <si>
    <t>None.
There was no technical study completed on the Indwe-Molteno coal mining initiative.</t>
  </si>
  <si>
    <t>There was no research initiation report developed nor a technical study conducted on the Indwe-Molteno coal mining initiative.
PoE was checked and validated, including:
- GL account 2140 (CHDM Coal Exploration Mining) amounting to R243,007.95 as at 30/06/2022.
- GL account 2000&gt;005 CHDA - Value Chain - Mining Enterprises showing expenditure of R120,007.95 incurred up to 25/03/2022
- Lwethuma Engineers invoice dated 25/03/2022 amounting to R141,450 (R123,000 excl VAT) for data gathering for Indwe-Molteno coalfield
- Notice of delay in schedule letter from Lwethuma Engineers to CHDA dated 27/09/2021
- email correspondence between Lwethuma Engineers, Council for GeoSciences (CGS) and CHDA regaring the delays experienced
- CHDA letter dated 31/08/2021 to CGS confirming the appointment of Lwethuma Engineers to conduct the coal study.
- CHDA appointment letter for Lwethuma Engineers dated 16/07/2021
- attendance registers for meetings held since appointment of Lwethuma Engineers</t>
  </si>
  <si>
    <r>
      <t>Expenditure in</t>
    </r>
    <r>
      <rPr>
        <sz val="9"/>
        <color rgb="FF00B050"/>
        <rFont val="Arial"/>
        <family val="2"/>
      </rPr>
      <t>cr</t>
    </r>
    <r>
      <rPr>
        <sz val="9"/>
        <rFont val="Arial"/>
        <family val="2"/>
      </rPr>
      <t>red on valuation of properties to determine market rentals for KIP, and commence</t>
    </r>
    <r>
      <rPr>
        <sz val="9"/>
        <color rgb="FF00B050"/>
        <rFont val="Arial"/>
        <family val="2"/>
      </rPr>
      <t>m</t>
    </r>
    <r>
      <rPr>
        <sz val="9"/>
        <rFont val="Arial"/>
        <family val="2"/>
      </rPr>
      <t xml:space="preserve">nt of EIA and critical infrastructure assessments for KIP  - at midyear, additional funding approved of R6m by CHDM for district economic infrastructure assessments to support Nat Treasury crit infrastructure application, and business plans and EIA's in progress in joint implementation project with CHCDC and CHDA </t>
    </r>
  </si>
  <si>
    <r>
      <t xml:space="preserve">None.
</t>
    </r>
    <r>
      <rPr>
        <sz val="9"/>
        <color rgb="FFFF0000"/>
        <rFont val="Arial"/>
        <family val="2"/>
      </rPr>
      <t xml:space="preserve">The following documentation was not provided to confirm the reported progress:
- the scoping and EIA process reports that had been finalised on the public participation process for KIP
</t>
    </r>
    <r>
      <rPr>
        <sz val="9"/>
        <color rgb="FF00B0F0"/>
        <rFont val="Arial"/>
        <family val="2"/>
      </rPr>
      <t xml:space="preserve">- procurement and engagement documents for the service provider performing the scoping exercise and/or the EIA
</t>
    </r>
    <r>
      <rPr>
        <sz val="9"/>
        <color rgb="FFFF0000"/>
        <rFont val="Arial"/>
        <family val="2"/>
      </rPr>
      <t xml:space="preserve">- progress report on the EIA for KIP. </t>
    </r>
    <r>
      <rPr>
        <i/>
        <sz val="9"/>
        <color rgb="FFFF0000"/>
        <rFont val="Arial"/>
        <family val="2"/>
      </rPr>
      <t>A Heritage Impact Assessment Report for the establishment of Komani Industrial Park dated November 2021, as prepared by Leon Marais - Heritage Practitioner - was reviewed.</t>
    </r>
    <r>
      <rPr>
        <sz val="9"/>
        <color rgb="FFFF0000"/>
        <rFont val="Arial"/>
        <family val="2"/>
      </rPr>
      <t xml:space="preserve">
- finalised scoping report
- documentation supporting community engagement</t>
    </r>
    <r>
      <rPr>
        <sz val="9"/>
        <rFont val="Arial"/>
        <family val="2"/>
      </rPr>
      <t xml:space="preserve"> </t>
    </r>
    <r>
      <rPr>
        <sz val="9"/>
        <color rgb="FFFF0000"/>
        <rFont val="Arial"/>
        <family val="2"/>
      </rPr>
      <t>(public participation)</t>
    </r>
  </si>
  <si>
    <t>Management disagrees with the finding
_The scoping report is provided with the community engagement KIP report
-There was no procurement from CHDA, as procurement took place on implementer CHCDC side - CHDA transferred the funds in line with R6m approved funding by CHDM for Economic Infrastructure development  Applications and a Gl extract from the TB has been provided 
_The heritage report is included in POE file
_The scoping and community engagement report included with attendance register  on public participation process</t>
  </si>
  <si>
    <r>
      <rPr>
        <sz val="9"/>
        <color rgb="FF00B0F0"/>
        <rFont val="Arial"/>
        <family val="2"/>
      </rPr>
      <t>Management comment is noted. The matter relating to the procurement of the service provider performing the scoping exercise is resolved and will not reported further.</t>
    </r>
    <r>
      <rPr>
        <sz val="9"/>
        <rFont val="Arial"/>
        <family val="2"/>
      </rPr>
      <t xml:space="preserve">
However, wrt to the other documentation (scoping report, progress reports and public participation), Internal Audit will resolve the matter when such information is provided for review.
It is noted that the indicator was not achieved.</t>
    </r>
  </si>
  <si>
    <t>PoE was checked and validated, including:
- Rental Determination Report on immovable property from Xoliswa Tini Properties dated 19/11/2021
- GL account payable printout for supplier XOL001 Xoliswa Tini Facilities Management reflecting an invoice payment for an amount of R35,604
- invoice from Xoliswa Tini for an amount of R35,604
- procurement documentation for the award to for an amount of R35,604
- CHCDC and CHDA bid document dated April 2021 with background for the application for environmental authorisation, water use licence and atmospheric emission licence for the establishment of the Komani Industrial Park
- CHCDC and CHDA public participation report dated September 2021 on scoping and EIA process for the establishment of the Komani Industrial Park
- CHCDC and CHDA scoping report dated November 2021 for the establishment of the Komani Industrial Park
- Heritage Impact Assessment Report for the establishment of Komani Industrial Park dated November 2021, as prepared by Leon Marais - Heritage Practitioner
The Environmental Impact Assessment study on Komani Industrial Park initiative was not provided.</t>
  </si>
  <si>
    <t>PoE was checked and validated, including:
- GL account 2126 CHDM - Economic Infrastructure Programme
- GL account 2127 CHDM Komani Industrial Park Crit Infra Expenditure
- CHDA Komani Industrial Park Bulk and Internal Services Engineering Report dated October 2021, as prepared by Buchule Engineers
- Komani Industrial Park Elelctricity Supply Report dated August 2021, as prepared by ZLM Project Engineers
- Geotechnical Report for Komani Industrial Park dated November 2021, as prepared by Strata Lab on behalf of Buchule Engineers
- Heritage Impact Assessment Report for the establishment of Komani Industrial Park dated November 2021, as prepared by Leon Marais - Heritage Practitioner
- Preliminary Risk Assessment Report dated 03/11/2021 for Komani Industrial Park, as prepared by MMRisk 
- Emergency Response Plan dated 04/11/2021 for Komani Fuel Storage Depot, as prepared by MMRisk</t>
  </si>
  <si>
    <t>PoE was checked and validated, including:
- study completed on Cradock farms identified for mass fodder production to support local agri-inputs production facility 
- CHDA Komani Industrial Park Bulk and Internal Services Engineering Report dated October 2021, as prepared by Buchule Engineers
- Komani Industrial Park Elelctricity Supply Report dated August 2021, as prepared by ZLM Project Engineers
- Geotechnical Report for Komani Industrial Park dated November 2021, as prepared by Strata Lab on behalf of Buchule Engineers
- Preliminary Risk Assessment Report dated 03/11/2021 for Komani Industrial Park, as prepared by MMRisk 
- Emergency Response Plan dated 04/11/2021 for Komani Fuel Storage Depot, as prepared by MMRisk</t>
  </si>
  <si>
    <r>
      <t xml:space="preserve">None.
</t>
    </r>
    <r>
      <rPr>
        <sz val="9"/>
        <color rgb="FF00B0F0"/>
        <rFont val="Arial"/>
        <family val="2"/>
      </rPr>
      <t>The documentation supporting the reported progress was not provided, for the following:
- basic assessment conducted for feedlot and piggery at Bilatye
- community engagement (public participation)</t>
    </r>
  </si>
  <si>
    <t xml:space="preserve">Management disagrees with finding
_The Cradock farms report is inclded in POE as item talking to farms assessed for fodder production and feedlot establishment
_The piggery/Bilatye Mkonjane report has been included in the PoE file as basic assessment report on piggery initiative
_Public participation records and report also provided </t>
  </si>
  <si>
    <t>Management comment is noted. The matter relating to the basic assessment and public participation have been resolved and will not reported further.</t>
  </si>
  <si>
    <r>
      <t xml:space="preserve">None.
</t>
    </r>
    <r>
      <rPr>
        <sz val="9"/>
        <color rgb="FF00B0F0"/>
        <rFont val="Arial"/>
        <family val="2"/>
      </rPr>
      <t xml:space="preserve">
The documentation supporting the reported progress was not provided, for the following:
- basic assessment conducted for feedlot and piggery at Bilatye
- community engagement (public participation)</t>
    </r>
  </si>
  <si>
    <r>
      <t xml:space="preserve">PoE was checked and validated, including:
- CHDA Komani Industrial Park Bulk and Internal Services Engineering Report dated October 2021, as prepared by Buchule Engineers
- Heritage Impact Assessment Report for the establishment of Komani Industrial Park dated November 2021, as prepared by Leon Marais - Heritage Practitioner
- Geotechnical Report for Komani Industrial Park dated November 2021, as prepared by Strata Lab on behalf of Buchule Engineers
</t>
    </r>
    <r>
      <rPr>
        <b/>
        <sz val="9"/>
        <color rgb="FFFF0000"/>
        <rFont val="Arial"/>
        <family val="2"/>
      </rPr>
      <t>However, the zoning/subdivision town planning report finalised for KIP was not attached to the PoE provided.</t>
    </r>
  </si>
  <si>
    <t>Management comment was not provided</t>
  </si>
  <si>
    <t>The matter will be reported in the Internal Audit report.</t>
  </si>
  <si>
    <t>None.
There was no technical study conducted on the  commercialisation of the Molteno biltong factory.</t>
  </si>
  <si>
    <t>PoE was checked and validated, including:
- partnership active with CHCDC to finalise contruction and commercialisation on the Ezibeleni LOGIC fruit/veg packhouse
- partnership with Farmvision to support wine processing at Shiloh One transfer to support operations for wine processing
- GL account 2126 CHDM - Economic Infrastructure Programme with a balance of R6,233,985.62 as at 23/03/2022, but with specific reference to expenditure on the implementation of the Logic Packhouse. THIS IS THE SAME FOR INDICATOR 8.1.3 ABOVE
- CHDA-CHCDC ProgressReport - Packing Facility Establishment Fund submission to DEDEAT dated 17/06/2021
- SLA between DEDEAT and CHDA signed on 25/11/2019 regarding R15m funds to be transferred by DEDEAT to CHDA to facilitate and manage implementation done by CHCDC
- Payment vouchers 205/2022 (R400,000) and 276/2022(R250,000) relating to CHCDC invoices on the implementation of the Logic Packhouse
- SLA between CHCDC and CHDA signed on 29/11/2019 regarding funds transferred by DEDEAT to CHDA to facilitate and manage implementation done by CHCDC. CHCDC had applied for the funds from DEDEAT Stimulus and Recovery Plan on behalf of local co-operatives in the district.</t>
  </si>
  <si>
    <r>
      <t>1 x waste partnership in place to commercialise the waste buy-back facilities - Tulsaspark is operator partner
The R707k contribution amount due and payable for 39% share of the partnership agreement was unpaid at end 06/2022 - CHDA ho</t>
    </r>
    <r>
      <rPr>
        <sz val="9"/>
        <color rgb="FF00B050"/>
        <rFont val="Arial"/>
        <family val="2"/>
      </rPr>
      <t>wv</t>
    </r>
    <r>
      <rPr>
        <sz val="9"/>
        <color theme="1"/>
        <rFont val="Arial"/>
        <family val="2"/>
      </rPr>
      <t>er made investment in security costs to safeguard the assets until operationalisation by partner</t>
    </r>
  </si>
  <si>
    <t>To date, all expenditure incurred has been on building costs of the 3 buy-back facilities in prior periods, amounting to +-R36million funded by DEA, as well as business plan/engineering costs amounting to R4.6million.
The anticipated partnership is to assist with an operator to assist with commercialisation of the facilities in establishing a local waste economy</t>
  </si>
  <si>
    <r>
      <t xml:space="preserve">PoE was checked and validated, including:
- Agreement of Partnership between CHDA and Tulsaspark, dated 03/03/2022. 
- CHDA letter dated 07/07/2021 appointing Tulsaspark as the Waste Recycling Multi Buy Back Centre Operations Partner.
</t>
    </r>
    <r>
      <rPr>
        <sz val="9"/>
        <color rgb="FF00B0F0"/>
        <rFont val="Arial"/>
        <family val="2"/>
      </rPr>
      <t>However, the following was not provided as PoE:
- the Memorandum of Agreement between CHDA and Enoch Mgijima Local Municipality (EMLM), supporting the appointment of CHDA as an implementation agent on 09/12/2020 to manage waste facilities, as per par 2.1.1 of the CHDA-Tulsaspark Agreement of Partnership.
- periodic (monthly) reports prepared by Tulsaspark on progress, as per 16.4 of the CHDA-Tulsaspark Agreement of Partnership.</t>
    </r>
  </si>
  <si>
    <t>Management agrees with finding
The POE excludes the EMLM agreement - it has been updated to POE file
No reports applicable for Tulsaspark as operator partner not yet operational as indicated in the SCM Contracts Mngt review the reporting is internally from the CHDA side for now.</t>
  </si>
  <si>
    <r>
      <rPr>
        <sz val="9"/>
        <color rgb="FF00B0F0"/>
        <rFont val="Arial"/>
        <family val="2"/>
      </rPr>
      <t>Management comment is noted. The matter will be resolved and not reported further, when Internal Audit is provided with the EMLM agreement and the internal CHDA reports on the Tulsaspark partnership agreement.</t>
    </r>
    <r>
      <rPr>
        <sz val="9"/>
        <rFont val="Arial"/>
        <family val="2"/>
      </rPr>
      <t xml:space="preserve">
</t>
    </r>
    <r>
      <rPr>
        <sz val="9"/>
        <color rgb="FFFF0000"/>
        <rFont val="Arial"/>
        <family val="2"/>
      </rPr>
      <t xml:space="preserve">However, if the operator is not operational, Internal Audit raises a concern about the achievement of the target "1 </t>
    </r>
    <r>
      <rPr>
        <b/>
        <u/>
        <sz val="9"/>
        <color rgb="FFFF0000"/>
        <rFont val="Arial"/>
        <family val="2"/>
      </rPr>
      <t>active</t>
    </r>
    <r>
      <rPr>
        <sz val="9"/>
        <color rgb="FFFF0000"/>
        <rFont val="Arial"/>
        <family val="2"/>
      </rPr>
      <t xml:space="preserve"> partnership to support waste economy in the district "</t>
    </r>
  </si>
  <si>
    <t>Issue advert in Q4 to commence recruitment of digital ICT partner</t>
  </si>
  <si>
    <t>None.
There was no ICT partner identified to support ICT/digital economy initiative in the district during the period.</t>
  </si>
  <si>
    <r>
      <t xml:space="preserve">PoE was checked and validated, including:
- GL account 2241 (CHDM Beef Livestock Improvement) with expenditure of R2,086,374.56 as at 30/06/2022
- SLA between Dicla Training and Projects and CHDA signed on 18/11/2020 (with commencement date of 16/09/2020) regarding rendering of the livestock vaccine programme in all municipalities in the district. CHDA would subsidise 40% of the vaccination cost.
</t>
    </r>
    <r>
      <rPr>
        <sz val="9"/>
        <color rgb="FF00B0F0"/>
        <rFont val="Arial"/>
        <family val="2"/>
      </rPr>
      <t>However, the following was not provided as PoE:
- periodic reports prepared by Dicla on progress against the milestones included in par 3.1 of the SLA</t>
    </r>
  </si>
  <si>
    <t>Management disagrees with finding
_ All Dicla vouchers on monthly claims included in POE file - each POE batch has a voucher number / page, with invoice on vaccines administered, as well as detailed attachment on number of animals, farmers, and locations, with registers - refer POE reference 10.1.2</t>
  </si>
  <si>
    <t>Management comment is noted. Internal Audit acknowledges that bi-monthly Dicla invoices and supporting schedules were provided. The matter is resolved and will not be reported on further.</t>
  </si>
  <si>
    <r>
      <t xml:space="preserve">PoE was checked and validated, including:
- GL account 2250&gt;005 Stakeholder Engagement with an amount of R75,982.06 as at 30/06/2022
- attendance register for Wool farmers indaba held on at Ngudle A/A on 19/04/2022 (wool grower farmer indaba) on DRDAR letterhead
- CHDM invitation to and minutes of the CH Wool Growers Indaba on 21/04/2022 and related attendance registers
- attendance register of the DRDAR FPSU Stakeholder Engagement and Monitoring event held on 07/04/2022 at the QMC (DRDLR/FSPU engagement with scheme members)
</t>
    </r>
    <r>
      <rPr>
        <sz val="9"/>
        <color rgb="FF00B0F0"/>
        <rFont val="Arial"/>
        <family val="2"/>
      </rPr>
      <t>However, the following was not provided as PoE:
- agenda and/or post event report on the Stakeholder Engagement and Monitoring event held on 07/04/2022 at the QMC</t>
    </r>
  </si>
  <si>
    <t xml:space="preserve">Management disagrees with finding
The attendance register and minutes are the required verification method and both included in the file </t>
  </si>
  <si>
    <r>
      <rPr>
        <sz val="9"/>
        <color rgb="FF00B0F0"/>
        <rFont val="Arial"/>
        <family val="2"/>
      </rPr>
      <t>Management commentis noted. Internal Audit agrees that the documented PoE under the "Verification Method (PoE)" column relates to minutes and attendance registers only. The matter is resolved and will not be reported on further.
However, Internal Audit urges management to be consistent in drafting the APP, as post event reports are required for other indicators.</t>
    </r>
    <r>
      <rPr>
        <sz val="9"/>
        <rFont val="Arial"/>
        <family val="2"/>
      </rPr>
      <t xml:space="preserve"> </t>
    </r>
  </si>
  <si>
    <r>
      <t xml:space="preserve">PoE was checked and validated, including:
- GL account 2250&gt;005 Stakeholder Engagement with an amount of R75,982.06 as at 30/06/2022
- documentary evidence of 6 stakeholder events held to support LED initiatives during the year.
Further, the following documentation which was previously not provided for Q3 was included:
- minutes/notes (or post event report) of the QMC Strategic Planning session held on 18/03/2022. The attendance register for this session was also attached to the PoE for indicator 10.1.3.
</t>
    </r>
    <r>
      <rPr>
        <sz val="9"/>
        <color rgb="FFFF0000"/>
        <rFont val="Arial"/>
        <family val="2"/>
      </rPr>
      <t>However, the following was not provided as PoE:
- agenda and/or post event report on the Stakeholder Engagement and Monitoring event held on 07/04/2022 at the QMC</t>
    </r>
    <r>
      <rPr>
        <sz val="9"/>
        <rFont val="Arial"/>
        <family val="2"/>
      </rPr>
      <t xml:space="preserve">
</t>
    </r>
    <r>
      <rPr>
        <sz val="9"/>
        <color rgb="FFFF0000"/>
        <rFont val="Arial"/>
        <family val="2"/>
      </rPr>
      <t>- the minutes (or post event report) of the Local AP/Global AP Horticulture meeting held at Queenstown Hall on 27/10/2021</t>
    </r>
    <r>
      <rPr>
        <sz val="9"/>
        <rFont val="Arial"/>
        <family val="2"/>
      </rPr>
      <t xml:space="preserve">
</t>
    </r>
    <r>
      <rPr>
        <sz val="9"/>
        <color rgb="FFFF0000"/>
        <rFont val="Arial"/>
        <family val="2"/>
      </rPr>
      <t>- the minutes (or post event report) of the Nkululeko Shearing Shed meeting held at Esikhobeni Cofimvaba on 04/08/2021
- the minutes (or post event report) of the Livestock Improvement Programme Progress meeting held at Dicla Queenstown on 24/08/2021.
- minutes (or post event report) of the Ncora Irrigation Scheme meeting held virtually on 31/08/2021</t>
    </r>
  </si>
  <si>
    <t>Management commentis noted. With respective to the minutes (or post-event reports) of the events mentioned, Internal Audit states that such was not included in the PoE provided. Accordingly, the matter will be included in the Internal Audit report if such information is not provided.</t>
  </si>
  <si>
    <t>None.
PoE was checked and validated, including:
- 6 BkB Ltd tax invoices from 6 wool shearing sheds showing a total weight of 21 tons of wool sales made on behalf of the Wool farmers. This was less than the targeted 100 tons of sales.
- CHDM invitation to a CH Wool Growers Indaba held with local wool farmers with NWGA in 21/04/2022 at Silulo Shearing Shed/Ngudle.</t>
  </si>
  <si>
    <t>PoE was checked and validated, including:
- 6 BkB Ltd tax invoices from 6 wool shearing sheds showing a total weight of 21 tons of wool sales made on behalf of the Wool farmers.</t>
  </si>
  <si>
    <t>PoE was checked and validated, including:
- Vaccination reports from Dicla Training and Projects.
- GL account vote 2241 CHDM Beef Livestock Improvement amounting to R2,086,374.56 as at 30/06/2022.
- GL account payable printout for supplier DIC001 Dicla Projects reflecting movement during the quarter
- payment vouchers for livestock improvement, with Dicla invoices and supporting schedules for vaccinations during the period
- bi-monthly DICLA tax invoices with schedules supporting progress during the year
- signed DICLA appointment letter dated 16/09/2020
- SLA between DICLA Training and Projects and CHDA signed on 18/11/2020 regarding rendering of the livestock vaccine programme in all municipalities in the district. CHDA would subsidise 40% of the vaccination cost.</t>
  </si>
  <si>
    <t>PoE was checked and validated, including:
- Vaccination reports from Dicla Training and Projects.
- GL account vote 2241 CHDM Beef Livestock Improvement amounting to R2,086,374.56 as at 30/06/2022.
- GL account payable printout for supplier DIC001 Dicla Projects reflecting movement during the year
- payment vouchers for livestock improvement, with Dicla invoices and supporting schedules for vaccinations during the period
- bi-monthly DICLA tax invoices with schedules supporting progress during the year
- signed DICLA appointment letter dated 16/09/2020
- SLA between DICLA Training and Projects and CHDA signed on 18/11/2020 regarding rendering of the livestock vaccine programme in all municipalities in the district. CHDA would subsidise 40% of the vaccination cost.</t>
  </si>
  <si>
    <t>PoE was checked and validated, including:
- GL account 1200&gt;005 CHDA Own Income - Mechanisation Support for the period ended 15/06/2022 with a total of R1,794,701.20
- attendance register for the QMC Strategic Planning session held on 18/03/2022. The minutes/notes (or post event report) of for this session was also attached to the PoE for indicator 9.2.1</t>
  </si>
  <si>
    <r>
      <t>A farmer support initiative was implemented to support local grain and fodder production at the QMC. Accordingly, the annual target was achieved, when applying the annual target strictly.
The variance in target definition between the quarterly and annual targets was raised during the review of the APP 2021/22 "</t>
    </r>
    <r>
      <rPr>
        <i/>
        <sz val="9"/>
        <color theme="1"/>
        <rFont val="Arial"/>
        <family val="2"/>
      </rPr>
      <t>The quarterly targets (R-amount realised in mechanisation support functions) do not align with the annual target  ("1 farmer support initiative implemented to support local grain and fodder  production (QMC)"). The QMC initiative is a programme that is already in existence to support local farmers. The throughput of the QMC is what would stretch and challenge the institution as a target.</t>
    </r>
    <r>
      <rPr>
        <sz val="9"/>
        <color theme="1"/>
        <rFont val="Arial"/>
        <family val="2"/>
      </rPr>
      <t>"</t>
    </r>
  </si>
  <si>
    <t>PoE was checked and validated, including:
- CHDA Memo from EMO to CEO dated 03/11/2021 approving the Ntsimini Holdings Agricultural Youth project, with financial implications of R262,688.34
There was no documentary evidence that the youth support was ultimately provided during the quarter</t>
  </si>
  <si>
    <t>CHDA could only assist with financial support to assit with harvest and transportation of grapes for wine processing</t>
  </si>
  <si>
    <t xml:space="preserve">R200k transferred to assist then co-op with harvest operations and transportation of wine grape for processing </t>
  </si>
  <si>
    <t>No movement required</t>
  </si>
  <si>
    <t>None.
There was no performance target for the quarter per the APP.</t>
  </si>
  <si>
    <r>
      <t xml:space="preserve">PoE was checked and validated, including:
- PoE was checked and validated, including:
- payment voucher 154/2022
- CHDA Memo from EMO to Acting CEO dated 01/04/2022 requesting approval of R200,000 financial assistance for Mayime Winery
- Mayime Winery letter to CEO dated 31/03/2022 requesting financial assistance of R200,000.
- Mayime Winery Standard Bank account confirmation dated 04/04/2022
- Memorandum of Understanding (MoU) among Mayime Agricultural Primary Cooperative, FarmInvest and CHDA. The date when such MoU was signed was not documented.
</t>
    </r>
    <r>
      <rPr>
        <sz val="9"/>
        <color rgb="FF00B0F0"/>
        <rFont val="Arial"/>
        <family val="2"/>
      </rPr>
      <t>There was no documentary evidence that the R200,000 was paid over by CHDA to Mayime Winery for the Shiloh grapevine. However, if the amount was paid over, then the annual target "1 wine grape initiative supported at Shiloh" was achieved, if we adhere to such target strictly.
Management may well know that the intention of the annual target was to support the wine grape harvest day event, but such was not specifically documented in the APP 2021/22 annual target.
There was documentary evidence that the quarter 3 target of "1 wine grape harvest day event held" was not achieved nor was a harvest report provided as PoE, but even so, due to the misalignment between the annual and quarterly target, the annual target has been achieved, whereas the quarterly target was not.</t>
    </r>
  </si>
  <si>
    <r>
      <t xml:space="preserve">PoE was checked and validated, including:
- signed Quarter 4 report on the pomegranate project visits dated 07/06/2022
- Training event held with pomegranate producers. Gobal Gap Training report reflecting training held in Hortgro Offices in Paarl on 20-21/01/2022 (in Q3) for 2 members of Mitrock Pomegranate. 
- signed Quarter 4 project and site visit assessment form
- payment vouchers for the payment of casual labourers during the period
</t>
    </r>
    <r>
      <rPr>
        <sz val="9"/>
        <color rgb="FF00B0F0"/>
        <rFont val="Arial"/>
        <family val="2"/>
      </rPr>
      <t xml:space="preserve">
However, the following was not included in the PoE:
- course content of the Gobal Gap Training
- attendance registers completed by the 2 attendees</t>
    </r>
  </si>
  <si>
    <t xml:space="preserve">Management agrees to finding
The course content was not included as training provided by external / third party - CHDA facilitated the training process and was part of those attending </t>
  </si>
  <si>
    <t>Management comment is noted that the PoE information resides with 3rd parties. Internal Audit was able to confirm the reported training through email correspondence and pictures of attendees, and accordingly the matter will not be reported further.
However, Internal Audit urges management to ofllow up on ll relevant PoE relating to indicators in future.</t>
  </si>
  <si>
    <t>PoE was checked and validated, including:
- CHDA Memo dated 26/07/2021 requesting approval to pay 2 labourers (monthly stipend of R2400 each) for crop maintenance at the pomegranite site for the period August 2021 to June 2022.
- payment vouchers of R4,800 covering the period, which included the timesheets for the days worked by the labourers 
- signed quarterly reports on the pomegranate project visits
- Training event held with pomegranate producers. Gobal Gap Training report reflecting training held in Hortgro Offices in Paarl on 20-21/01/2022 (in Q3) for 2 members of Mitrock Pomegranate. 
- signed Quarter 4 project and site visit assessment form</t>
  </si>
  <si>
    <r>
      <t xml:space="preserve">PoE was checked and validated, including:
- letter from Vizier Systems to CHCDC dated 14/07/2022 detailing equipment installed, purportedly at the Ezibeleni Logic packhouse. </t>
    </r>
    <r>
      <rPr>
        <sz val="9"/>
        <color rgb="FF00B0F0"/>
        <rFont val="Arial"/>
        <family val="2"/>
      </rPr>
      <t>It is noted that the letter does not include specific reference to the Ezibeleni packhouse. Further, there is no clarity as to who Vizier Systems are in relation to the Ezibeleni Logic packhouse</t>
    </r>
    <r>
      <rPr>
        <sz val="9"/>
        <rFont val="Arial"/>
        <family val="2"/>
      </rPr>
      <t xml:space="preserve">
- signed SLA between CHDA and CHCDC for the period April to 30 October 2020
- Memorandum of Agreement (MoA) between DSBD and CHCDC signed on 09/12/2021, for assistance of R20m towards a packhouse and fertilizer blending facility.
</t>
    </r>
    <r>
      <rPr>
        <sz val="9"/>
        <color rgb="FFFF0000"/>
        <rFont val="Arial"/>
        <family val="2"/>
      </rPr>
      <t xml:space="preserve">However, the following was not included in the PoE:
- construction completion certiifcate confirming such facility was completed within quarter 4. If such was not required, please advise.
</t>
    </r>
    <r>
      <rPr>
        <sz val="9"/>
        <color rgb="FF00B0F0"/>
        <rFont val="Arial"/>
        <family val="2"/>
      </rPr>
      <t>- expenditure records, as incurred by CHDA, if any</t>
    </r>
    <r>
      <rPr>
        <sz val="9"/>
        <rFont val="Arial"/>
        <family val="2"/>
      </rPr>
      <t xml:space="preserve">
</t>
    </r>
    <r>
      <rPr>
        <sz val="9"/>
        <color rgb="FFFF0000"/>
        <rFont val="Arial"/>
        <family val="2"/>
      </rPr>
      <t>- documentary evidence that the packhouse was operational during quarter 4. The detail "to be launched at upcoming investment summit event" does not clarify when the investment summit was held and if such was within quarter 4 of the year.</t>
    </r>
  </si>
  <si>
    <r>
      <t xml:space="preserve">Management disagrees with finding
Vizier Systems are the company installing the specialised equipment
No completion certificate provided but letter confirming such date 7/7/2022 included
Vouchers on logic packhouse transfers included 
The summit was held 13+14 July 2022, and facility launched, so not operational at end 06/2022
</t>
    </r>
    <r>
      <rPr>
        <sz val="9"/>
        <color rgb="FFFF0000"/>
        <rFont val="Arial"/>
        <family val="2"/>
      </rPr>
      <t xml:space="preserve">ALSO, REPORT HERE HAS BEEN RESTATED - PLEASE CHECK AND ADVISE </t>
    </r>
  </si>
  <si>
    <r>
      <t xml:space="preserve">Management comment is noted, and Internal Audit states the following:
</t>
    </r>
    <r>
      <rPr>
        <sz val="9"/>
        <color rgb="FF00B0F0"/>
        <rFont val="Arial"/>
        <family val="2"/>
      </rPr>
      <t>- the PoE provided did not clarify who Vizier Systems was, as there was no procurement or contracting documentation attached. Notwithstanding, the matter is now resolved and will not be reported further.</t>
    </r>
    <r>
      <rPr>
        <sz val="9"/>
        <rFont val="Arial"/>
        <family val="2"/>
      </rPr>
      <t xml:space="preserve">
</t>
    </r>
    <r>
      <rPr>
        <sz val="9"/>
        <color rgb="FFFF0000"/>
        <rFont val="Arial"/>
        <family val="2"/>
      </rPr>
      <t xml:space="preserve">- the construction completion certificate was not included in the PoE, as required and as such the matter will be reported in the Internal Audit reported. The Q4 performance status should be changed to "Part Achieved" or "Not Achieved"
</t>
    </r>
    <r>
      <rPr>
        <sz val="9"/>
        <color rgb="FF00B0F0"/>
        <rFont val="Arial"/>
        <family val="2"/>
      </rPr>
      <t>- the matter relating to payment vouchers is resolved and will not be reported further.</t>
    </r>
  </si>
  <si>
    <r>
      <t xml:space="preserve">PoE was checked and validated, including:
- Memorandum of Agreement (MoA) between DSBD and CHCDC signed on 09/12/2021, for assistance of R20m towards a packhouse and fertilizer blending facility.
- Design drawings for the fertilizer factory
- letter from Vizier Systems to CHCDC dated 14/07/2022 detailing equipment installed, purportedly at the Ezibeleni Logic packhouse.
</t>
    </r>
    <r>
      <rPr>
        <sz val="9"/>
        <color rgb="FFFF0000"/>
        <rFont val="Arial"/>
        <family val="2"/>
      </rPr>
      <t>However, the following was not included in the PoE:
- construction completion certiifcates confirming that the fertilizer facility and packhouse were completed within the year
- documentary evidence that the packhouse was operational during quarter 4.</t>
    </r>
  </si>
  <si>
    <r>
      <t xml:space="preserve">Management comment is noted, and Internal Audit states that the construction completion certificate was not included in the PoE, as required and as such the matter will be reported in the Internal Audit reported. The APR performance status should be changed to "Part Achieved" or "Not Achieved"
</t>
    </r>
    <r>
      <rPr>
        <sz val="9"/>
        <color rgb="FF00B0F0"/>
        <rFont val="Arial"/>
        <family val="2"/>
      </rPr>
      <t>Please note that the "Achieved" performance is in the orange colour usually reserved for "Part Achieved"</t>
    </r>
  </si>
  <si>
    <r>
      <t>14 x interns on CHDA internship programme
L Bleki - Finance
A Mgaleli - Finance
P Mdlelni - Finance
B Nogaga - SCM
L Mnyaka - PMU
T Kiti - PMU
M Zolwana - PMU
A Ndamane - PMU
T Vazi - PMU
Y Kaman</t>
    </r>
    <r>
      <rPr>
        <sz val="9"/>
        <color rgb="FF00B050"/>
        <rFont val="Arial"/>
        <family val="2"/>
      </rPr>
      <t>a</t>
    </r>
    <r>
      <rPr>
        <sz val="9"/>
        <color theme="1"/>
        <rFont val="Arial"/>
        <family val="2"/>
      </rPr>
      <t xml:space="preserve"> - PMU
S Xobo - PMU
Z Msindwana - Finance
L Ngwanya - SCM 
</t>
    </r>
    <r>
      <rPr>
        <b/>
        <sz val="9"/>
        <color theme="1"/>
        <rFont val="Arial"/>
        <family val="2"/>
      </rPr>
      <t>S Fata - Admin</t>
    </r>
  </si>
  <si>
    <r>
      <t>12 x interns on CHDA internship programme
L Bleki - Finance
A Mgaleli - Finance
P Mdlelni - Finance
B Nogaga - SCM
L Mnyaka - PMU
T Kiti - PMU
M Zolwana - PMU
A Ndamane - PMU
T Vazi - PMU
Y Kaman</t>
    </r>
    <r>
      <rPr>
        <sz val="9"/>
        <color rgb="FF00B050"/>
        <rFont val="Arial"/>
        <family val="2"/>
      </rPr>
      <t>a</t>
    </r>
    <r>
      <rPr>
        <sz val="9"/>
        <color theme="1"/>
        <rFont val="Arial"/>
        <family val="2"/>
      </rPr>
      <t xml:space="preserve"> - PMU
S Xobo - PMU
</t>
    </r>
    <r>
      <rPr>
        <b/>
        <sz val="9"/>
        <color theme="1"/>
        <rFont val="Arial"/>
        <family val="2"/>
      </rPr>
      <t>S Fata - Admin</t>
    </r>
  </si>
  <si>
    <t xml:space="preserve">Improve Seta engagements to ensure payments made on time
Improve internal claim procedures to fast-track turnaround time and speed up rate of refunds by Seta
</t>
  </si>
  <si>
    <r>
      <t xml:space="preserve">12 x interns on CHDA internship programme
L Bleki - Finance
A Mgaleli - Finance
P Mdlelni - Finance
B Nogaga - SCM
L Mnyaka - PMU
T Kiti - PMU
M Zolwana - PMU
A Ndamane - PMU
T Vazi - PMU
Y Kamana - PMU
S Xobo - PMU
</t>
    </r>
    <r>
      <rPr>
        <b/>
        <sz val="9"/>
        <color theme="1"/>
        <rFont val="Arial"/>
        <family val="2"/>
      </rPr>
      <t>S Fata - Admin</t>
    </r>
  </si>
  <si>
    <r>
      <t>11 x interns on CHDA internship programme
L Bleki - Finance
A Mgaleli - Finance
P Mdlelni - Finance
B Nogaga - SCM
L Mnyaka - PMU
T Kiti - PMU
M Zolwana - PMU
A Ndamane - PMU
T Vazi - PMU
Y Kaman</t>
    </r>
    <r>
      <rPr>
        <sz val="9"/>
        <color rgb="FF00B050"/>
        <rFont val="Arial"/>
        <family val="2"/>
      </rPr>
      <t>a</t>
    </r>
    <r>
      <rPr>
        <sz val="9"/>
        <color theme="1"/>
        <rFont val="Arial"/>
        <family val="2"/>
      </rPr>
      <t xml:space="preserve"> - PMU
</t>
    </r>
    <r>
      <rPr>
        <b/>
        <sz val="9"/>
        <color theme="1"/>
        <rFont val="Arial"/>
        <family val="2"/>
      </rPr>
      <t>S Fata - Admin</t>
    </r>
    <r>
      <rPr>
        <sz val="9"/>
        <color theme="1"/>
        <rFont val="Arial"/>
        <family val="2"/>
      </rPr>
      <t xml:space="preserve">
9 x additional youth on new CETA internship programme for Civil Engineering students - placed in infrastructure programme service providers</t>
    </r>
  </si>
  <si>
    <r>
      <t xml:space="preserve">This is funded under payroll expenditure, where each intern gets R10000 pm from CHDA payroll costs
The CETA engineering interns are paid directly by the CETA as part of work placement programme 
</t>
    </r>
    <r>
      <rPr>
        <b/>
        <sz val="9"/>
        <color theme="1"/>
        <rFont val="Arial"/>
        <family val="2"/>
      </rPr>
      <t xml:space="preserve">
5 exits in CHDA internship from permanent employment, and 1 exit from post-graduate studies </t>
    </r>
  </si>
  <si>
    <r>
      <rPr>
        <b/>
        <sz val="9"/>
        <color theme="1"/>
        <rFont val="Arial"/>
        <family val="2"/>
      </rPr>
      <t>Achieved Above Required Performance Metric</t>
    </r>
    <r>
      <rPr>
        <sz val="9"/>
        <color theme="1"/>
        <rFont val="Arial"/>
        <family val="2"/>
      </rPr>
      <t xml:space="preserve">
22 x youth in internships during the year
(13 youth in agency-funded internship / job-placement  programme 
9 youth in CETA-funded internship / job placement programme)
</t>
    </r>
  </si>
  <si>
    <t>(5 exits in CHDA internship from permanent employment, and 1 exit from post-graduate studies )</t>
  </si>
  <si>
    <t xml:space="preserve">FT = Adjusted / restated report, needs IA to confirm over-achievement </t>
  </si>
  <si>
    <t xml:space="preserve">20 x DRDAR scheme employees in the period
</t>
  </si>
  <si>
    <t xml:space="preserve">20 x DRDAR scheme employees in the period
</t>
  </si>
  <si>
    <t>PMU-INFRA
CFO</t>
  </si>
  <si>
    <t xml:space="preserve">FT = the attendance regster for SDF included in file , no restatement required </t>
  </si>
  <si>
    <t xml:space="preserve">FT = no amendments / restatements necessary as POE file updated </t>
  </si>
  <si>
    <t xml:space="preserve">FT = no further comments / amendments required as POE file amended with summary listing from PMU </t>
  </si>
  <si>
    <t>FT = no further comments /  amendments required as bursary with LGSETA not commenced at end of reporting period</t>
  </si>
  <si>
    <t xml:space="preserve">FT = Adjusted / restated report, needs IA to confirm non-achievement as EPWP workers cannot be verified </t>
  </si>
  <si>
    <t xml:space="preserve">FT = no amendments / restatements necessary </t>
  </si>
  <si>
    <t>FT = no amendment / reststament required as EIA study not complete - item completed is dated 05/2021</t>
  </si>
  <si>
    <t>FT - no amendments / corrected required</t>
  </si>
  <si>
    <t xml:space="preserve">The Cradock farms report is inclded in POE as item talking to farms assessed for fodder production and feedlot establishment
The piggery/Bilatye Mkonjane report has been included in the PoE file as basic assessment report on piggery initiative
Public participation records and report also provided </t>
  </si>
  <si>
    <t xml:space="preserve">FT = adjusted / restated in line with POE provided - IA to confirm restatement to Achieved </t>
  </si>
  <si>
    <t xml:space="preserve">FT = no amendment / reststament required as POE complete - discussed with IA that disagreement with finding as docs in file confirmed under IA comemnts </t>
  </si>
  <si>
    <t>FT = this is contracts mngt issue and does not nullify a partnership existence</t>
  </si>
  <si>
    <t xml:space="preserve">FT = IA status indicates achievement above metric, so error in comments </t>
  </si>
  <si>
    <t>Due to budget challenges, the programme had to be put on hold  - there is also existing debt of +-R1.3m unpaid to provider
Provider failed to raise required co-funding which was a pre-requisite for award</t>
  </si>
  <si>
    <t>Repayment plan to settle outstandind debt from agency fees
Improvement on contracts management issues and adminsitartion</t>
  </si>
  <si>
    <t>CFO
EMO
CEO</t>
  </si>
  <si>
    <t xml:space="preserve">Expenditure drivers were vaccination costs - rollover from prio year funded additional costs incurred </t>
  </si>
  <si>
    <r>
      <rPr>
        <b/>
        <sz val="9"/>
        <rFont val="Arial"/>
        <family val="2"/>
      </rPr>
      <t>Management agrees with the finding</t>
    </r>
    <r>
      <rPr>
        <sz val="9"/>
        <rFont val="Arial"/>
        <family val="2"/>
      </rPr>
      <t xml:space="preserve">
The EPWP report is provided by the CHDM, as custodian of the projects, and they submit a summary report on jobs created to CHDA  PMU Manager.  CHDA does not compile the information directly from EPWP records as the contractors report directly to CHDM on EPWP matters and CHDA gets a summary of this report, work registers, and site job records including payroll records from the contractors as payroll not effected by CHDA 
The report has been restated due to POE challenges raised  </t>
    </r>
  </si>
  <si>
    <r>
      <rPr>
        <b/>
        <sz val="9"/>
        <rFont val="Arial"/>
        <family val="2"/>
      </rPr>
      <t>Management agrees with IA finding</t>
    </r>
    <r>
      <rPr>
        <sz val="9"/>
        <rFont val="Arial"/>
        <family val="2"/>
      </rPr>
      <t xml:space="preserve">
The POE includes pay registers for the first half of the year as the interns paid as part of CHDA payroll - the payroll records will be available for inspection with POE for 04/2022-06/2022
S Fata was part of intake, and his file available for inspection - he is also in the payroll records provided please verify. - this has been updated in the report
There is thus a required restatement to 12 vs 11 CHDA interns in the period
The CETA approval letter or documents are correct and thus a required restatement of 9 vs 8 CETA interns is required
One learner dropped out and could not be replaced due to the funding conditions.</t>
    </r>
  </si>
  <si>
    <t>None applicable 
(The research initiation report  from Lwethuma Environmental consultants was submitted at the end of Q2 and  is resubmitted. Only Lwethuma Environmental Consultants were appointed to undertak technical study)</t>
  </si>
  <si>
    <t xml:space="preserve">None applicable 
</t>
  </si>
  <si>
    <t xml:space="preserve">None applicable </t>
  </si>
  <si>
    <r>
      <rPr>
        <b/>
        <sz val="9"/>
        <rFont val="Arial"/>
        <family val="2"/>
      </rPr>
      <t>Management disagrees with finding</t>
    </r>
    <r>
      <rPr>
        <sz val="9"/>
        <rFont val="Arial"/>
        <family val="2"/>
      </rPr>
      <t xml:space="preserve">
_The Cradock farms report is inclded in POE as item talking to farms assessed for fodder production and feedlot establishment
_The piggery/Bilatye Mkonjane report has been included in the PoE file as basic assessment report on piggery initiative
_Public participation records and report also provided </t>
    </r>
  </si>
  <si>
    <r>
      <rPr>
        <b/>
        <sz val="9"/>
        <color theme="1"/>
        <rFont val="Arial"/>
        <family val="2"/>
      </rPr>
      <t>Management disagrees with finding</t>
    </r>
    <r>
      <rPr>
        <sz val="9"/>
        <color theme="1"/>
        <rFont val="Arial"/>
        <family val="2"/>
      </rPr>
      <t xml:space="preserve">
The zoning/subdivision report is included in the POE file </t>
    </r>
  </si>
  <si>
    <t xml:space="preserve">None applicable 
</t>
  </si>
  <si>
    <r>
      <rPr>
        <b/>
        <sz val="9"/>
        <rFont val="Arial"/>
        <family val="2"/>
      </rPr>
      <t>Management agrees with finding</t>
    </r>
    <r>
      <rPr>
        <sz val="9"/>
        <rFont val="Arial"/>
        <family val="2"/>
      </rPr>
      <t xml:space="preserve">
The POE excludes the EMLM agreement - it has been updated to POE file. The agreement was signed in the previous years between CHDA and the Cooperatives
No reports applicable for Tulsaspark as operator partner not yet operational as indicated in the SCM Contracts Mngt review the reporting is internally from the CHDA side for now.. The operation could not start during the year reaported and CHDA could not make Tulsaspark account due to the failure to fulfil its funding commitment to the agreement. Management confined itseld to the POE stated in the APP .</t>
    </r>
  </si>
  <si>
    <r>
      <rPr>
        <b/>
        <sz val="9"/>
        <rFont val="Arial"/>
        <family val="2"/>
      </rPr>
      <t>Management disagrees with finding</t>
    </r>
    <r>
      <rPr>
        <sz val="9"/>
        <rFont val="Arial"/>
        <family val="2"/>
      </rPr>
      <t xml:space="preserve">
_ All Dicla vouchers on monthly claims included in POE file - each POE batch has a voucher number / page, with invoice on vaccines administered, as well as detailed attachment on number of animals, farmers, and locations, with registers - refer POE reference 10.1.2</t>
    </r>
  </si>
  <si>
    <r>
      <rPr>
        <b/>
        <sz val="9"/>
        <rFont val="Arial"/>
        <family val="2"/>
      </rPr>
      <t>Management disagrees with finding</t>
    </r>
    <r>
      <rPr>
        <sz val="9"/>
        <rFont val="Arial"/>
        <family val="2"/>
      </rPr>
      <t xml:space="preserve">
The attendance register and minutes are the required verification method and both included in the file - the minutes  were submitted as post event report as per POE stated APP and outstanding document will be submitted</t>
    </r>
  </si>
  <si>
    <r>
      <rPr>
        <b/>
        <sz val="9"/>
        <rFont val="Arial"/>
        <family val="2"/>
      </rPr>
      <t>Management agrees with IA finding</t>
    </r>
    <r>
      <rPr>
        <sz val="9"/>
        <rFont val="Arial"/>
        <family val="2"/>
      </rPr>
      <t xml:space="preserve">
The POE for the line item was provided after report submitted for audit - the POE is thus annexed to this report for review withd details of programmes, virtual training attendance registers and training reports </t>
    </r>
  </si>
  <si>
    <t>None applicable</t>
  </si>
  <si>
    <t>None applicable
(Management notes the comments for future APP adjustment - the  center manager targets were previsously linked to own revenue generation, which is dependent on funding mobilisation, fleet repairs and maintenance, hectorage covered, as well as farmers supported )</t>
  </si>
  <si>
    <t>None possible at this stage, as item not funded in 2022-23</t>
  </si>
  <si>
    <t>Not Applicable</t>
  </si>
  <si>
    <t>None applicable 
(The aprval memo is included in POE file, but was unpad at year end due to funds diversion to critical support on vineyard initiative)</t>
  </si>
  <si>
    <t xml:space="preserve">Achieved 
</t>
  </si>
  <si>
    <r>
      <rPr>
        <b/>
        <sz val="9"/>
        <color theme="1"/>
        <rFont val="Arial"/>
        <family val="2"/>
      </rPr>
      <t xml:space="preserve">Management agrees to finding
</t>
    </r>
    <r>
      <rPr>
        <sz val="9"/>
        <color theme="1"/>
        <rFont val="Arial"/>
        <family val="2"/>
      </rPr>
      <t xml:space="preserve">The POE is in the file confirming payment was effected as financail support to mayime - restated to achieved </t>
    </r>
  </si>
  <si>
    <t xml:space="preserve">FT = restament per PO provided in file confirming funds transfer </t>
  </si>
  <si>
    <t xml:space="preserve">Harvest timing and scheduling, 
Budget for harvest was estimated at R750k, and funding support was efefcted at R200k, to cover co-op operational expenditure </t>
  </si>
  <si>
    <r>
      <rPr>
        <b/>
        <sz val="9"/>
        <color theme="1"/>
        <rFont val="Arial"/>
        <family val="2"/>
      </rPr>
      <t>Achieved</t>
    </r>
    <r>
      <rPr>
        <sz val="9"/>
        <color theme="1"/>
        <rFont val="Arial"/>
        <family val="2"/>
      </rPr>
      <t xml:space="preserve">
No harvest day held at Shiloh, but financial support provided in line with approved memo and standing SLA btwn CHDA and co-operative - this confirms 1 wine grape initaitive supported for the year </t>
    </r>
  </si>
  <si>
    <r>
      <rPr>
        <b/>
        <sz val="9"/>
        <rFont val="Arial"/>
        <family val="2"/>
      </rPr>
      <t>Management disagrees with finding</t>
    </r>
    <r>
      <rPr>
        <sz val="9"/>
        <rFont val="Arial"/>
        <family val="2"/>
      </rPr>
      <t xml:space="preserve">
POE file includes MOU for fertilizer blending support, and the blending facility provided with technical support durng the year as part of technical studies in critical economic infrastruture programme
The LOGIC packhouse was also provided with financial support, and subsequently completed in the year, for launch in upcoming summit event to be held 07/2022</t>
    </r>
  </si>
  <si>
    <t xml:space="preserve">FT -= restated and corrected in line with POE, and annual target can be confirmed by IA </t>
  </si>
  <si>
    <r>
      <t xml:space="preserve">Achieved
</t>
    </r>
    <r>
      <rPr>
        <sz val="9"/>
        <color theme="1"/>
        <rFont val="Arial"/>
        <family val="2"/>
      </rPr>
      <t>The planned revenue was not generated by the center in year ending 06/2022</t>
    </r>
    <r>
      <rPr>
        <b/>
        <sz val="9"/>
        <color theme="1"/>
        <rFont val="Arial"/>
        <family val="2"/>
      </rPr>
      <t xml:space="preserve">, </t>
    </r>
    <r>
      <rPr>
        <sz val="9"/>
        <color theme="1"/>
        <rFont val="Arial"/>
        <family val="2"/>
      </rPr>
      <t xml:space="preserve">but the center provided farmer support to support grain/fodder production in the year </t>
    </r>
  </si>
  <si>
    <t xml:space="preserve">FT = restated in-quarter and annula as 1 farmer support initiative met, although annual in-quarter target not realised for revenue </t>
  </si>
  <si>
    <t xml:space="preserve">FT = restated upwards as 2 agro-processing partnerships in place </t>
  </si>
  <si>
    <t xml:space="preserve">None.
The HRM plan has not been implemented 100% by end June 2022. Refer to reported progress per Q4 Consolidated HRM Report 2022. </t>
  </si>
  <si>
    <t xml:space="preserve">Not applicable  - refer Q4 HRM report </t>
  </si>
  <si>
    <t>Internal Audit is aware that the 2020/21 staff performance review exercise for EXCO members is currently underway.</t>
  </si>
  <si>
    <t xml:space="preserve">None.
A Board performance assessment was not conducted by year end </t>
  </si>
  <si>
    <t>Management comment is noted and Internal Audit acknowledges the receipt of the CHDA's Annual Report 2020/21 and the minutes of the AGM meeting wherein such was approved, and the matter is resolved.</t>
  </si>
  <si>
    <t xml:space="preserve">Management disagrees with finding
The AR was presented and approved at AGM and MPCA - see minutes.  Cost containment prevented incurring design fees, so final document designed and published inhouse </t>
  </si>
  <si>
    <r>
      <t xml:space="preserve">4 performance reports (APR 2021, Q1-Q3 performance reports) were finalised and audited, and IA Reports thereon were issued.
</t>
    </r>
    <r>
      <rPr>
        <sz val="9"/>
        <color rgb="FF00B0F0"/>
        <rFont val="Arial"/>
        <family val="2"/>
      </rPr>
      <t>However, the following was not provided:
- approved and published 2021 annual report</t>
    </r>
  </si>
  <si>
    <r>
      <t xml:space="preserve">Q3 performance report was finalised and audited, and an IA Report thereon was issued.
</t>
    </r>
    <r>
      <rPr>
        <sz val="9"/>
        <color rgb="FF00B0F0"/>
        <rFont val="Arial"/>
        <family val="2"/>
      </rPr>
      <t xml:space="preserve">
However, the following was not provided:
- approved and published 2021 annual report</t>
    </r>
  </si>
  <si>
    <t>Management comment is noted and the matter is resolved, and will not be reported on further.
Internal Audit reviewed a draft AFS set and confirmed that there was irregular expendiure incurred during the year.</t>
  </si>
  <si>
    <t xml:space="preserve">Management agrees with finding
IA has a copy of the AFS as part of AFS review being conducted parallel - amount disclosed in applicable note - refer updated draft AFS attached as well for reference of target not being achieved </t>
  </si>
  <si>
    <r>
      <t xml:space="preserve">From a review of the SCM Report as at 30 June 2022 v14 presented to Audit Committee at the meeting held on 29/08/2022, there was irregular expenditure reported.
</t>
    </r>
    <r>
      <rPr>
        <sz val="9"/>
        <color rgb="FF00B0F0"/>
        <rFont val="Arial"/>
        <family val="2"/>
      </rPr>
      <t>This needs to be corroborated by disclosures in the AFS</t>
    </r>
  </si>
  <si>
    <t>Management comment is noted and the matter is resolved, and will not be reported on further.
Internal Audit reviewed a draft AFS set  disclosure note 38 and confirmed that there was irregular expendiure incurred during the year.</t>
  </si>
  <si>
    <t>Management comment is noted and the matter is resolved, and will not be reported on further.
Internal Audit reviewed a draft AFS set and confirmed that there was fruitless and wasteful expendiure incurred during the year.</t>
  </si>
  <si>
    <r>
      <t xml:space="preserve">From a review of the SCM Report as at 30 June 2022 v14 presented to Audit Committee at the meeting held on 29/08/2022, there was fruitless and wasteful expenditure reported.
</t>
    </r>
    <r>
      <rPr>
        <sz val="9"/>
        <color rgb="FF00B0F0"/>
        <rFont val="Arial"/>
        <family val="2"/>
      </rPr>
      <t>This needs to be corroborated by disclosures in the AFS</t>
    </r>
  </si>
  <si>
    <t>Management comment is noted and the matter is resolved, and will not be reported on further.
Internal Audit reviewed a draft AFS set disclosure note 37 and confirmed that there was fruitless and wasteful expendiure incurred during the year.</t>
  </si>
  <si>
    <r>
      <rPr>
        <sz val="9"/>
        <color rgb="FFFF0000"/>
        <rFont val="Arial"/>
        <family val="2"/>
      </rPr>
      <t>Management comment is noted. Internal Audit notes that the reported performance should then be amended from "Achieved" to "Not Achieved", if the AFS confirm that there has been unauthorised expenditure incurred.</t>
    </r>
    <r>
      <rPr>
        <sz val="9"/>
        <rFont val="Arial"/>
        <family val="2"/>
      </rPr>
      <t xml:space="preserve">
</t>
    </r>
    <r>
      <rPr>
        <sz val="9"/>
        <color rgb="FF00B0F0"/>
        <rFont val="Arial"/>
        <family val="2"/>
      </rPr>
      <t>Internal Audit recommends that management ensures that the unauthorised expenditure disclosure notes in the AFS and in the APR is updated.</t>
    </r>
  </si>
  <si>
    <t>Management agrees with finding
Potential mis-statement as AFS review has identified potential unauthorised expenditure under KIP budget line item - to be confirmed</t>
  </si>
  <si>
    <r>
      <t xml:space="preserve">From a review of the SCM Report as at 30 June 2022 v14 presented to Audit Committee at the meeting held on 29/08/2022, there was no unauthorised expenditure.
</t>
    </r>
    <r>
      <rPr>
        <sz val="9"/>
        <color rgb="FFFF0000"/>
        <rFont val="Arial"/>
        <family val="2"/>
      </rPr>
      <t>This needs to be corroborated by disclosures in the AFS</t>
    </r>
  </si>
  <si>
    <r>
      <rPr>
        <sz val="9"/>
        <color rgb="FFFF0000"/>
        <rFont val="Arial"/>
        <family val="2"/>
      </rPr>
      <t>Management comment is noted. Internal Audit notes that the reported quarterly performance should then be amended from "Achieved" to "Not Achieved", if the AFS confirm that there has been unauthorised expenditure incurred.</t>
    </r>
    <r>
      <rPr>
        <sz val="9"/>
        <rFont val="Arial"/>
        <family val="2"/>
      </rPr>
      <t xml:space="preserve">
</t>
    </r>
    <r>
      <rPr>
        <sz val="9"/>
        <color rgb="FF00B0F0"/>
        <rFont val="Arial"/>
        <family val="2"/>
      </rPr>
      <t>Internal Audit recommends that management ensures that the unauthorised expenditure disclosure notes in the AFS and in the APR is updated.</t>
    </r>
  </si>
  <si>
    <r>
      <t xml:space="preserve">From a review of the SCM Report as at 30 June 2022 v14 presented to the Audit Committee at the meeting held on 29/08/2022, there was no unauthorised expenditure.
</t>
    </r>
    <r>
      <rPr>
        <sz val="9"/>
        <color rgb="FFFF0000"/>
        <rFont val="Arial"/>
        <family val="2"/>
      </rPr>
      <t>This needs to be corroborated by disclosures in the AFS</t>
    </r>
  </si>
  <si>
    <t>POE provided extract of GL informing AFS on other own revenue sources from agency fees on CETA, DRDAR, contracts, as well as insurance claims, investment and bank interest amounts</t>
  </si>
  <si>
    <t>Disclosure Note 15 Other Income on AFS generated on Monday 29/08/2022 at 12h37 reflected that Other Income amount of R257,853 for the year, which was in excess of the R200,000 target.</t>
  </si>
  <si>
    <t>Achieved Above Required Perfrmance Metric</t>
  </si>
  <si>
    <r>
      <t>R390601 realised in own revenue outside of reported R1.9m for mechanisation support, and R16m in infrastructure agency fees - this also excludes VAT refunds antici</t>
    </r>
    <r>
      <rPr>
        <sz val="9"/>
        <color rgb="FF00B050"/>
        <rFont val="Arial"/>
        <family val="2"/>
      </rPr>
      <t>ap</t>
    </r>
    <r>
      <rPr>
        <sz val="9"/>
        <color theme="1"/>
        <rFont val="Arial"/>
        <family val="2"/>
      </rPr>
      <t xml:space="preserve">ted at year end from SARS </t>
    </r>
  </si>
  <si>
    <t>PoE was checked and validated, including:
- ICT Strategy action plan
However, not all of the actions were implemented by year end.</t>
  </si>
  <si>
    <t>The 86% indicates that not all actions were finalised - uptime and policies/Sop approval specifically</t>
  </si>
  <si>
    <t>None.
There was no documentary evidence of policies being reviewed during the period</t>
  </si>
  <si>
    <t>Management comment is noted and the matter is resolved, and will not be reported on further.
Internal Audit agrees that the CHDA Board minutes and CHDM Council Reesolution were provided.</t>
  </si>
  <si>
    <t>Minutes approved under Board minutes section dated 11/2/2022
Copy of APP as submitted to Board and approved also included with Council resolution on APP and budget adjustment submissions, as well as IA Report on approved APP review.</t>
  </si>
  <si>
    <r>
      <t xml:space="preserve">Internal Audit acknowledges that the 2021-2022 and 2022-23 APP were approved.
</t>
    </r>
    <r>
      <rPr>
        <sz val="9"/>
        <color rgb="FF00B0F0"/>
        <rFont val="Arial"/>
        <family val="2"/>
      </rPr>
      <t>However, the APPs and the minutes of the meeting wherein they were approved should be attached to the PoE.</t>
    </r>
  </si>
  <si>
    <t>Management comment is noted and the matter is resolved, and will not be reported on further.
Internal Audit agrees that the strategic documents were provided.</t>
  </si>
  <si>
    <t xml:space="preserve">Strategic document attached to POE </t>
  </si>
  <si>
    <r>
      <t xml:space="preserve">Internal Audit acknowledges that a Strategic Planning session was held in may 2022.
</t>
    </r>
    <r>
      <rPr>
        <sz val="9"/>
        <color rgb="FF00B0F0"/>
        <rFont val="Arial"/>
        <family val="2"/>
      </rPr>
      <t>However, the reviewed and/or amended strategic documents should be included in the PoE.</t>
    </r>
  </si>
  <si>
    <r>
      <t xml:space="preserve">Internal Audit acknowledges that a Strategic Planning session was held in May 2022.
</t>
    </r>
    <r>
      <rPr>
        <sz val="9"/>
        <color rgb="FF00B0F0"/>
        <rFont val="Arial"/>
        <family val="2"/>
      </rPr>
      <t>However, the reviewed and/or amended strategic documents should be included in the PoE.</t>
    </r>
  </si>
  <si>
    <t>PoE was checked and validated, including:
- IA plans for 2021/22 and 2022/23 years
- quarterly IA progress reports
However, not all of the IA reviews were conducted by year end, which resulted in projects being rolled over from the 2021/22 IA Plan to the 2022/23 year IA Plan.</t>
  </si>
  <si>
    <t>None - IA progress report attached (IA to confirm the % completion as not in report)</t>
  </si>
  <si>
    <t>PoE was checked and validated, including:
- a post-audit action plan
However, not all of the actions were implemented by year end.</t>
  </si>
  <si>
    <t>A strategic risk action plan was not provided.</t>
  </si>
  <si>
    <t>This is clarified in the disclaimer that the delay in 07/2022 strategic session affected ability to have a strategic risk register and action plan for 2021/2022 - done in 05/2022 for 2022/23</t>
  </si>
  <si>
    <t xml:space="preserve">Internal Audit confirms that a post-audit plan was completed, a risk register was developed, an IA plan developed. </t>
  </si>
  <si>
    <t>Management comment is noted and the matter is resolved, and will not be reported on further.
Internal Audit obtained the Strategic Risk Assessment report dated May 2022</t>
  </si>
  <si>
    <t xml:space="preserve">See attached IA risk report and risk register </t>
  </si>
  <si>
    <r>
      <t xml:space="preserve">Internal Audit can confirm that a risk assessment workshop was conducted for the 2022 year.
Internal Audit can confirm that an Internal Audit Plan for 2022/23 was developed
</t>
    </r>
    <r>
      <rPr>
        <sz val="9"/>
        <color rgb="FF00B0F0"/>
        <rFont val="Arial"/>
        <family val="2"/>
      </rPr>
      <t>However, the report was not included in the PoE.</t>
    </r>
  </si>
  <si>
    <t>PoE was checked and validated, including:
- 2 risk assessments were conducted during the year.</t>
  </si>
  <si>
    <t>Management comment is noted and the matter is resolved, and will not be reported on further.
Internal Audit obtained the quarterly Risk Assessment report dated May 2022</t>
  </si>
  <si>
    <t xml:space="preserve">See attached risk report </t>
  </si>
  <si>
    <r>
      <t xml:space="preserve">Internal Audit can confirm that a risk assessment was conducted.
</t>
    </r>
    <r>
      <rPr>
        <sz val="9"/>
        <color rgb="FF00B0F0"/>
        <rFont val="Arial"/>
        <family val="2"/>
      </rPr>
      <t>However, the report was not included in the PoE. Internal Audit can facilitate.</t>
    </r>
  </si>
  <si>
    <r>
      <t xml:space="preserve">Risk workshop held and risk assessment report developed to </t>
    </r>
    <r>
      <rPr>
        <sz val="9"/>
        <color rgb="FF00B050"/>
        <rFont val="Arial"/>
        <family val="2"/>
      </rPr>
      <t>gi</t>
    </r>
    <r>
      <rPr>
        <sz val="9"/>
        <color theme="1"/>
        <rFont val="Arial"/>
        <family val="2"/>
      </rPr>
      <t>de development of 3-</t>
    </r>
    <r>
      <rPr>
        <sz val="9"/>
        <color rgb="FF00B050"/>
        <rFont val="Arial"/>
        <family val="2"/>
      </rPr>
      <t>t</t>
    </r>
    <r>
      <rPr>
        <sz val="9"/>
        <color theme="1"/>
        <rFont val="Arial"/>
        <family val="2"/>
      </rPr>
      <t>ear IA rolling plan</t>
    </r>
  </si>
  <si>
    <r>
      <t>Quarterly risk assess</t>
    </r>
    <r>
      <rPr>
        <sz val="9"/>
        <color rgb="FF00B050"/>
        <rFont val="Arial"/>
        <family val="2"/>
      </rPr>
      <t>mn</t>
    </r>
    <r>
      <rPr>
        <sz val="9"/>
        <color theme="1"/>
        <rFont val="Arial"/>
        <family val="2"/>
      </rPr>
      <t>t con</t>
    </r>
    <r>
      <rPr>
        <sz val="9"/>
        <color rgb="FF00B050"/>
        <rFont val="Arial"/>
        <family val="2"/>
      </rPr>
      <t>dc</t>
    </r>
    <r>
      <rPr>
        <sz val="9"/>
        <color theme="1"/>
        <rFont val="Arial"/>
        <family val="2"/>
      </rPr>
      <t>ted and presented at ARC held 12/2021</t>
    </r>
  </si>
  <si>
    <t>Management comment is noted and the matter is resolved, and will not be reported on further.
Internal Audit agrees that the target did not relate to the approval or presentation of Ethics Reporting farmework, but rather the development thereof only.</t>
  </si>
  <si>
    <t>Target relates to development of Ethics Framework document, not approval minutes thereof.  The sitting happened in 2022-23 period although initially scheduled for Q4</t>
  </si>
  <si>
    <r>
      <t xml:space="preserve">PoE was checked and validated, including:
- Ethics Reporting &amp; Monitoring framework was developed
</t>
    </r>
    <r>
      <rPr>
        <sz val="9"/>
        <color rgb="FF00B0F0"/>
        <rFont val="Arial"/>
        <family val="2"/>
      </rPr>
      <t>However, the following was not attached:
- minutes to HRRE wherein the Ethics framework was presented</t>
    </r>
  </si>
  <si>
    <t>PoE was checked and validated, including:
- email from COSEC dated 26/08/2022
- Compliance Register prepared by COSEC showed that CHDA was not 100% compliant to relevant and applicable legislation</t>
  </si>
  <si>
    <r>
      <t xml:space="preserve">&lt;100% of the </t>
    </r>
    <r>
      <rPr>
        <sz val="9"/>
        <color rgb="FF00B050"/>
        <rFont val="Arial"/>
        <family val="2"/>
      </rPr>
      <t>b</t>
    </r>
    <r>
      <rPr>
        <sz val="9"/>
        <color theme="1"/>
        <rFont val="Arial"/>
        <family val="2"/>
      </rPr>
      <t>complia</t>
    </r>
    <r>
      <rPr>
        <sz val="9"/>
        <color rgb="FF00B050"/>
        <rFont val="Arial"/>
        <family val="2"/>
      </rPr>
      <t>cn</t>
    </r>
    <r>
      <rPr>
        <sz val="9"/>
        <color theme="1"/>
        <rFont val="Arial"/>
        <family val="2"/>
      </rPr>
      <t xml:space="preserve">e register implemented </t>
    </r>
  </si>
  <si>
    <t>PoE was checked and validated, including:
- Consolidated Board Matters Arising report
- Consolidated Board Resolution report indicating that not all resolutions were addressed by CHDA management
- email from COSEC dated 06/07/2022</t>
  </si>
  <si>
    <r>
      <t xml:space="preserve">&lt;100% of the board </t>
    </r>
    <r>
      <rPr>
        <sz val="9"/>
        <color rgb="FF00B050"/>
        <rFont val="Arial"/>
        <family val="2"/>
      </rPr>
      <t>rs</t>
    </r>
    <r>
      <rPr>
        <sz val="9"/>
        <color theme="1"/>
        <rFont val="Arial"/>
        <family val="2"/>
      </rPr>
      <t xml:space="preserve">olutions for 2021/22 were actioned by management </t>
    </r>
  </si>
  <si>
    <t>PoE was checked and validated, including:
- minutes to 2 HRRE meetings held during the year.</t>
  </si>
  <si>
    <t>None.
A HRRE was not held during the quarter</t>
  </si>
  <si>
    <t>PoE was checked and validated, including:
- minutes to 4 ARC/Fincom meetings held during the year.</t>
  </si>
  <si>
    <t>PoE was checked and validated, including:
- minutes of ARC/Fincom meeting held on 19/06/2022</t>
  </si>
  <si>
    <t>PoE was checked and validated, including:
- minutes to 2 Govcom meetings held during the year.</t>
  </si>
  <si>
    <t>None.
A Govcom was not held during the quarter</t>
  </si>
  <si>
    <t>PoE was checked and validated, including:
- minutes to 6 Board meetings held during the year.</t>
  </si>
  <si>
    <t>Management comment is noted and the matter is resolved, and will not be reported on further.
Internal Audit will however urge management to:
- ensure consistency in the APP and link minutes to attendance registers and agendas</t>
  </si>
  <si>
    <t>Verification method requires board and committee minutes, no mention of agenda and attendance register as meetings virtual and attendance confirmed in minutes - these will be requested from Cosec and attached.</t>
  </si>
  <si>
    <r>
      <t xml:space="preserve">PoE was checked and validated, including:
- minutes of Board meeting held on 26/06/2022. </t>
    </r>
    <r>
      <rPr>
        <sz val="9"/>
        <color rgb="FF00B0F0"/>
        <rFont val="Arial"/>
        <family val="2"/>
      </rPr>
      <t>However, the agenda and attendance register were not attached.</t>
    </r>
    <r>
      <rPr>
        <sz val="9"/>
        <color rgb="FFFF0000"/>
        <rFont val="Arial"/>
        <family val="2"/>
      </rPr>
      <t xml:space="preserve">
</t>
    </r>
    <r>
      <rPr>
        <sz val="9"/>
        <rFont val="Arial"/>
        <family val="2"/>
      </rPr>
      <t xml:space="preserve">- minutes of AGM meeting held on 24/06/2022. </t>
    </r>
    <r>
      <rPr>
        <sz val="9"/>
        <color rgb="FF00B0F0"/>
        <rFont val="Arial"/>
        <family val="2"/>
      </rPr>
      <t>However, the agenda and attendance register were not attached.</t>
    </r>
  </si>
  <si>
    <t>PoE was checked and validated, including:
- AGSA Audit Report dated 31/01/2022 reflecting a qualified audit opinion, and not an unqualified audit opinion</t>
  </si>
  <si>
    <t>See additional POE, AGM minutes and related pack items 
The AR was presented and approved at AGM and MPCA - see minutes.  Cost containment prevented incurring design fees, so final document designed and published inhouse</t>
  </si>
  <si>
    <r>
      <t xml:space="preserve">PoE was checked and validated, including:
- AGSA Audit Report dated 31/01/2022 and reflecting a qualified audit opinion
- AGSA Management Report dated 31/01/2022
- Minutes of virtual AGM meeting held on 24/06/2022
However, the following was not included:
</t>
    </r>
    <r>
      <rPr>
        <sz val="9"/>
        <color rgb="FF00B0F0"/>
        <rFont val="Arial"/>
        <family val="2"/>
      </rPr>
      <t>- CHDA's annual report, as per the Q4 target</t>
    </r>
    <r>
      <rPr>
        <sz val="9"/>
        <color rgb="FFFF0000"/>
        <rFont val="Arial"/>
        <family val="2"/>
      </rPr>
      <t xml:space="preserve">
</t>
    </r>
    <r>
      <rPr>
        <sz val="9"/>
        <color rgb="FF00B0F0"/>
        <rFont val="Arial"/>
        <family val="2"/>
      </rPr>
      <t>- evidence of the annual report being published</t>
    </r>
  </si>
  <si>
    <t xml:space="preserve">Consolidated board resolution register standing agenda item at both GovCom and Board sittings 
Acting appointments were effected by the board
A calendar of sittings approved early for 2022/23
</t>
  </si>
  <si>
    <t>Delays in finalising compliance register to allow for earlier tracking or progress
Critical vacancies
Delayed sitting to applicable structures afected ability to monitor</t>
  </si>
  <si>
    <t>Ensure compliacne register in place for 2022/2023 and standing agenda item at ARC, Govcom and Board sittings</t>
  </si>
  <si>
    <t xml:space="preserve">Risk assessment done as basis of risk-based IA plan </t>
  </si>
  <si>
    <t xml:space="preserve">Management diagrees with finding
One additional assessment was done in Q1 and basis of 2021/22 IA plan - POE file has been updated accordingly </t>
  </si>
  <si>
    <t xml:space="preserve">FT = restatement - see comment to part achieved </t>
  </si>
  <si>
    <t xml:space="preserve">A strategic risk action plan was developed but not monitored or reported on </t>
  </si>
  <si>
    <t xml:space="preserve">FT = check alignment in plan being in place, but not monitored - ties in with IA plan being in place as desktop risk assessment was done with IA after w/shop cancelled </t>
  </si>
  <si>
    <t>FT = recalculated to Not Achieved as % below 75% needed for Part Achieved classification</t>
  </si>
  <si>
    <t xml:space="preserve">Virements were passed during the year, and rollovers from prior period used to clear in-year overspends 
AFS disclosure on confirmed unauthorised amounts
Sect32 provisions on investigation, and consequence management where applicable 
Consequnce management policy to be developed </t>
  </si>
  <si>
    <t>Overspend on programme expenditure line item(s)</t>
  </si>
  <si>
    <t>Identified and reported unauthorised expenditure to date of R120k</t>
  </si>
  <si>
    <t>FT = restated per AFS run</t>
  </si>
  <si>
    <t xml:space="preserve">Irregular expenditure identified for the year from SCM activities -final figure  R 32.367m quantified for AFS disclosure note </t>
  </si>
  <si>
    <t xml:space="preserve">SCM non-compliance </t>
  </si>
  <si>
    <t>CEO
CFO
SCM</t>
  </si>
  <si>
    <r>
      <t xml:space="preserve">Achieved
</t>
    </r>
    <r>
      <rPr>
        <sz val="9"/>
        <color theme="1"/>
        <rFont val="Arial"/>
        <family val="2"/>
      </rPr>
      <t xml:space="preserve">APR 2021, Q1-Q3/2022 and AR developed </t>
    </r>
  </si>
  <si>
    <t>Poor planning, and budgetary constraints
Limitations in board calendar and sitting  to allow a fair evaluation process</t>
  </si>
  <si>
    <t xml:space="preserve">Lack of designated HRM resource
Limited oversight as vacancy in critical position driving HRM strategy 
HRRE sittings not sat during year as planned </t>
  </si>
  <si>
    <t xml:space="preserve">HRM part of agency turnaround plan
HRM resource to be employed as priority position to reduce workload on current incumbent
Board calendar approved 
</t>
  </si>
  <si>
    <r>
      <t xml:space="preserve">Achieved
</t>
    </r>
    <r>
      <rPr>
        <sz val="9"/>
        <color theme="1"/>
        <rFont val="Arial"/>
        <family val="2"/>
      </rPr>
      <t>1 APP developed approved and implemented for 2021-2022 as basis of performance report</t>
    </r>
  </si>
  <si>
    <t xml:space="preserve">FT=restated and updated </t>
  </si>
  <si>
    <t>Delays in key stakeholders being engaged on comunications and investor staretgies
Delay in district investment summit from delays in investment sttrategy approval and budget limitations
Lack of investment incentive packages to attract investors
Poor infrastructure to attract investors into industrial park
Limited iinternal skills to effectively package investment opportunities</t>
  </si>
  <si>
    <t xml:space="preserve">In vestment summit to be held in first quarter of 2022/2023
A advisory committee of FINCOM/PROJDEV chairpeson has been established to assist management with investment startegy and summit preparations. </t>
  </si>
  <si>
    <t xml:space="preserve">Lack of commercial – level projects being implemented to allow for job creation
Poor record keeping by CHDA and project beneficiaries
Ineffective stakeholder engagement and IGR to allow effective job creation partnerships with private sector </t>
  </si>
  <si>
    <t>Improve project implementation methodology to increase chances of project success to commercialisation / high impact stage
Enforce job creation and recording aspects for partners, suppliers and beneficiaries/co-ops as a condition for doing business with CHDA
Incentives in place for local big business to increase local job creation and opportunities (Ind Park – etc)</t>
  </si>
  <si>
    <t xml:space="preserve">Poor stakeholder management (AG)
Poor implementation of AG, Internal Audit and Audit Committee recommendations 
Vacancies in key management positions
Delays in filling of priority positions
Weak policy environment and delayed  reviews
No consequence management </t>
  </si>
  <si>
    <t>Improve engagement with the AG audit team
Accept and implement corrective actions suggested by AG, Internal Audit and the Audit Committee to mitigate risk of negative audit opinions
Comprehensive post-audit action plan to ensure all audit issues raised are addressed, with audited follow-up</t>
  </si>
  <si>
    <t>For the Period 01/07/2021 to 30/06/2022</t>
  </si>
  <si>
    <t>(ANNEXURE_B1)</t>
  </si>
  <si>
    <r>
      <t>There has been delays with service provider getting assistance from Nat Council of Geosciences
The LED contractor engaged was terminated in 12/2021 due to budget issues, and previ</t>
    </r>
    <r>
      <rPr>
        <sz val="9"/>
        <color rgb="FF00B050"/>
        <rFont val="Arial"/>
        <family val="2"/>
      </rPr>
      <t>s</t>
    </r>
    <r>
      <rPr>
        <sz val="9"/>
        <color theme="1"/>
        <rFont val="Arial"/>
        <family val="2"/>
      </rPr>
      <t xml:space="preserve">ously assisted with community and stakeholder engagement.  </t>
    </r>
  </si>
  <si>
    <t>1 research initiation report fijnalised</t>
  </si>
  <si>
    <r>
      <rPr>
        <b/>
        <sz val="9"/>
        <color theme="1"/>
        <rFont val="Arial"/>
        <family val="2"/>
      </rPr>
      <t>Achieved Above Required Perfromance Metric</t>
    </r>
    <r>
      <rPr>
        <sz val="9"/>
        <color theme="1"/>
        <rFont val="Arial"/>
        <family val="2"/>
      </rPr>
      <t xml:space="preserve">
6 planned stakeholder enaggement events held to support LED project implementation in district</t>
    </r>
  </si>
  <si>
    <t>6.2.1</t>
  </si>
  <si>
    <r>
      <rPr>
        <b/>
        <sz val="9"/>
        <color theme="1"/>
        <rFont val="Arial"/>
        <family val="2"/>
      </rPr>
      <t>Not Achieved</t>
    </r>
    <r>
      <rPr>
        <sz val="9"/>
        <color theme="1"/>
        <rFont val="Arial"/>
        <family val="2"/>
      </rPr>
      <t xml:space="preserve">
Value of recorded investments cannot be verified R57m in recorded investments from VSl (Isuzu car part manufacturing) and R 20m from AL-ASR 
3 investor events hosted in the period up to 31/3/2022
2 planning documents devloped and  approved (communications and investor strategies)</t>
    </r>
  </si>
  <si>
    <t>R1.52million realised in wool sales from local shearing sheds
R8million realised in fruit/veg offtake agreement on packhouse initiative</t>
  </si>
  <si>
    <r>
      <rPr>
        <b/>
        <sz val="9"/>
        <color theme="1"/>
        <rFont val="Arial"/>
        <family val="2"/>
      </rPr>
      <t xml:space="preserve">Achieved
</t>
    </r>
    <r>
      <rPr>
        <sz val="9"/>
        <color theme="1"/>
        <rFont val="Arial"/>
        <family val="2"/>
      </rPr>
      <t xml:space="preserve">
R1.52million realised in wool sales from local shearing sheds
R8million realised in fruit/veg offtake agreement on packhouse initiative</t>
    </r>
  </si>
  <si>
    <t>Fruitless expenditure identified for the year from late payment penalties - final figure of R1.1m  quantified for AFS disclosure note</t>
  </si>
  <si>
    <t xml:space="preserve">Cashflow challenges, budget cuts, and late receipt of drawdown amounts in 2022/23
Lack of consequence management policy 
No compliance register </t>
  </si>
  <si>
    <t xml:space="preserve">Build reserves in 2022/23 from excess agency fees
Develop consequence management policy 
Implement compliacne register </t>
  </si>
  <si>
    <r>
      <rPr>
        <b/>
        <u/>
        <sz val="15"/>
        <color rgb="FFFF0000"/>
        <rFont val="Arial"/>
        <family val="2"/>
      </rPr>
      <t>ADJUSTED</t>
    </r>
    <r>
      <rPr>
        <b/>
        <sz val="15"/>
        <color theme="1"/>
        <rFont val="Arial"/>
        <family val="2"/>
      </rPr>
      <t xml:space="preserve"> ANNUAL PERFORMANCE REPORT (APR)</t>
    </r>
  </si>
  <si>
    <t xml:space="preserve">DBSA application initial application submitted for  refurbishment of plant facility  and MOA finalised to avail funds for completion
Partnership agreemnts with partner to be pupdated 
</t>
  </si>
  <si>
    <t>1 x partnership with Farmvision to support wine processing at Shiloh
One transfer to support operations for wine processing made totalling R200 000 in 2021/2022</t>
  </si>
  <si>
    <t xml:space="preserve">ADJUSTED - COAF 17/ AOPO
Item changed from Achieved to Not Achieved </t>
  </si>
  <si>
    <t xml:space="preserve">ADJUSTED - COAF 17/ AOPO
Item changed from Achievement Exceeded to Achieved </t>
  </si>
  <si>
    <r>
      <rPr>
        <b/>
        <sz val="9"/>
        <color theme="1"/>
        <rFont val="Arial"/>
        <family val="2"/>
      </rPr>
      <t>Achieved</t>
    </r>
    <r>
      <rPr>
        <sz val="9"/>
        <color theme="1"/>
        <rFont val="Arial"/>
        <family val="2"/>
      </rPr>
      <t xml:space="preserve">
1 x livestock partnership active during the year between CHDA and Dicla Projects, on an animal health /livestock breeding/vaccination programme implemented in 2021/2022, funded by CHDM funds</t>
    </r>
  </si>
  <si>
    <r>
      <rPr>
        <b/>
        <sz val="9"/>
        <rFont val="Arial"/>
        <family val="2"/>
      </rPr>
      <t>Not Achieved</t>
    </r>
    <r>
      <rPr>
        <sz val="9"/>
        <rFont val="Arial"/>
        <family val="2"/>
      </rPr>
      <t xml:space="preserve">
1 x technical study completed on industrial park </t>
    </r>
  </si>
  <si>
    <t xml:space="preserve">COAF 22 / Performance not restated but narration amended for better alignment of POE and reported movement with target </t>
  </si>
  <si>
    <t xml:space="preserve">COAF 22 / Performance not restated butnarration amended for better alignment of POE and reported movement with target </t>
  </si>
  <si>
    <r>
      <t xml:space="preserve">Achieved
</t>
    </r>
    <r>
      <rPr>
        <sz val="9"/>
        <rFont val="Arial"/>
        <family val="2"/>
      </rPr>
      <t xml:space="preserve">6 x technical studies conducted in the year under the critical infrastructure programme.
The reports were  finalised under critical infrastructure support with CHCDC </t>
    </r>
  </si>
  <si>
    <t xml:space="preserve">COAF 22 /
The narration amended in achievemnt column to better align the actual work done as being technical studies - the end Q4 column indicates in detail which studies were completed </t>
  </si>
  <si>
    <r>
      <rPr>
        <b/>
        <sz val="9"/>
        <color theme="1"/>
        <rFont val="Arial"/>
        <family val="2"/>
      </rPr>
      <t xml:space="preserve">Achieved </t>
    </r>
    <r>
      <rPr>
        <sz val="9"/>
        <color theme="1"/>
        <rFont val="Arial"/>
        <family val="2"/>
      </rPr>
      <t xml:space="preserve">
1 x partnership with Farmvision to support wine processing at Shiloh
One transfer to support operations for wine processing made totalling R200 000 in 2021/2022</t>
    </r>
  </si>
  <si>
    <t xml:space="preserve">Lack of funding for refurbishment completion of fertilizer blending facility
DSBD application for equipment was approved and machinery procured but not yet isntalled 
Un-updated partnership agreements between CHDA and implementer partner </t>
  </si>
  <si>
    <t xml:space="preserve">The Ezibeleni logic packhouse completed and specialised equipment installed by end 06/2022 and to be launched at upcoming investment summit event - note yet operational </t>
  </si>
  <si>
    <r>
      <t xml:space="preserve">Not Achieved
</t>
    </r>
    <r>
      <rPr>
        <sz val="9"/>
        <rFont val="Arial"/>
        <family val="2"/>
      </rPr>
      <t>1 agroprocessing initiatives supported for local grain, fruit and veg producers</t>
    </r>
  </si>
  <si>
    <t xml:space="preserve">The Inkosi Wine brand continues to be sold via local Pick n Pay / Spar outlets - bottle wine has now been re-packaged in line of box wine options for alternate market segment and boosted sales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</si>
</sst>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R&quot;#,##0;[Red]\-&quot;R&quot;#,##0"/>
    <numFmt numFmtId="44" formatCode="_-&quot;R&quot;* #,##0.00_-;\-&quot;R&quot;* #,##0.00_-;_-&quot;R&quot;* &quot;-&quot;??_-;_-@_-"/>
    <numFmt numFmtId="43" formatCode="_-* #,##0.00_-;\-* #,##0.00_-;_-* &quot;-&quot;??_-;_-@_-"/>
    <numFmt numFmtId="164" formatCode="&quot;R&quot;#,##0.00"/>
  </numFmts>
  <fonts count="58"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color rgb="FF000000"/>
      <name val="Arial"/>
      <family val="2"/>
    </font>
    <font>
      <b/>
      <sz val="10"/>
      <name val="Arial"/>
      <family val="2"/>
    </font>
    <font>
      <b/>
      <i/>
      <sz val="10"/>
      <name val="Arial"/>
      <family val="2"/>
    </font>
    <font>
      <b/>
      <i/>
      <sz val="10"/>
      <color rgb="FF000000"/>
      <name val="Arial"/>
      <family val="2"/>
    </font>
    <font>
      <i/>
      <sz val="10"/>
      <color rgb="FF000000"/>
      <name val="Arial"/>
      <family val="2"/>
    </font>
    <font>
      <b/>
      <sz val="12"/>
      <color theme="1"/>
      <name val="Arial"/>
      <family val="2"/>
    </font>
    <font>
      <sz val="12"/>
      <color theme="1"/>
      <name val="Arial"/>
      <family val="2"/>
    </font>
    <font>
      <b/>
      <sz val="12"/>
      <color rgb="FFFFFFFF"/>
      <name val="Arial"/>
      <family val="2"/>
    </font>
    <font>
      <b/>
      <sz val="9"/>
      <color rgb="FFFFFFFF"/>
      <name val="Arial"/>
      <family val="2"/>
    </font>
    <font>
      <b/>
      <sz val="9"/>
      <color rgb="FF000000"/>
      <name val="Arial"/>
      <family val="2"/>
    </font>
    <font>
      <sz val="9"/>
      <color rgb="FF000000"/>
      <name val="Arial"/>
      <family val="2"/>
    </font>
    <font>
      <sz val="9"/>
      <color theme="1"/>
      <name val="Arial"/>
      <family val="2"/>
    </font>
    <font>
      <b/>
      <sz val="9"/>
      <color theme="0"/>
      <name val="Arial"/>
      <family val="2"/>
    </font>
    <font>
      <b/>
      <i/>
      <sz val="9"/>
      <color rgb="FF000000"/>
      <name val="Arial"/>
      <family val="2"/>
    </font>
    <font>
      <b/>
      <sz val="9"/>
      <name val="Arial"/>
      <family val="2"/>
    </font>
    <font>
      <sz val="9"/>
      <name val="Arial"/>
      <family val="2"/>
    </font>
    <font>
      <b/>
      <sz val="9"/>
      <color rgb="FFFF0000"/>
      <name val="Arial"/>
      <family val="2"/>
    </font>
    <font>
      <sz val="9"/>
      <color rgb="FFFF0000"/>
      <name val="Arial"/>
      <family val="2"/>
    </font>
    <font>
      <i/>
      <sz val="9"/>
      <color rgb="FFFF0000"/>
      <name val="Arial"/>
      <family val="2"/>
    </font>
    <font>
      <b/>
      <sz val="9"/>
      <color theme="1"/>
      <name val="Arial"/>
      <family val="2"/>
    </font>
    <font>
      <i/>
      <sz val="10"/>
      <color theme="1"/>
      <name val="Arial"/>
      <family val="2"/>
    </font>
    <font>
      <i/>
      <sz val="9"/>
      <name val="Arial"/>
      <family val="2"/>
    </font>
    <font>
      <b/>
      <i/>
      <sz val="9"/>
      <name val="Arial"/>
      <family val="2"/>
    </font>
    <font>
      <b/>
      <sz val="9"/>
      <color rgb="FF0070C0"/>
      <name val="Arial"/>
      <family val="2"/>
    </font>
    <font>
      <sz val="9"/>
      <color rgb="FF00B0F0"/>
      <name val="Arial"/>
      <family val="2"/>
    </font>
    <font>
      <i/>
      <sz val="9"/>
      <color rgb="FF00B0F0"/>
      <name val="Arial"/>
      <family val="2"/>
    </font>
    <font>
      <b/>
      <sz val="11"/>
      <color theme="0"/>
      <name val="Calibri"/>
      <family val="2"/>
      <scheme val="minor"/>
    </font>
    <font>
      <sz val="11"/>
      <color rgb="FFFF0000"/>
      <name val="Calibri"/>
      <family val="2"/>
      <scheme val="minor"/>
    </font>
    <font>
      <b/>
      <sz val="11"/>
      <color theme="1"/>
      <name val="Calibri"/>
      <family val="2"/>
      <scheme val="minor"/>
    </font>
    <font>
      <b/>
      <sz val="20"/>
      <color theme="1"/>
      <name val="Calibri"/>
      <family val="2"/>
      <scheme val="minor"/>
    </font>
    <font>
      <b/>
      <sz val="11"/>
      <color theme="1"/>
      <name val="Arial"/>
      <family val="2"/>
    </font>
    <font>
      <b/>
      <sz val="11"/>
      <color rgb="FF0070C0"/>
      <name val="Arial"/>
      <family val="2"/>
    </font>
    <font>
      <sz val="12"/>
      <color rgb="FF0070C0"/>
      <name val="Arial"/>
      <family val="2"/>
    </font>
    <font>
      <b/>
      <sz val="12"/>
      <color rgb="FF0070C0"/>
      <name val="Arial"/>
      <family val="2"/>
    </font>
    <font>
      <b/>
      <sz val="16"/>
      <color theme="1"/>
      <name val="Arial"/>
      <family val="2"/>
    </font>
    <font>
      <sz val="16"/>
      <color theme="1"/>
      <name val="Arial"/>
      <family val="2"/>
    </font>
    <font>
      <sz val="11"/>
      <color theme="1"/>
      <name val="Arial"/>
      <family val="2"/>
    </font>
    <font>
      <i/>
      <sz val="11"/>
      <color theme="1"/>
      <name val="Calibri"/>
      <family val="2"/>
      <scheme val="minor"/>
    </font>
    <font>
      <b/>
      <i/>
      <sz val="11"/>
      <color theme="1"/>
      <name val="Calibri"/>
      <family val="2"/>
      <scheme val="minor"/>
    </font>
    <font>
      <b/>
      <sz val="15"/>
      <color theme="1"/>
      <name val="Arial"/>
      <family val="2"/>
    </font>
    <font>
      <b/>
      <sz val="18"/>
      <color theme="0"/>
      <name val="Calibri"/>
      <family val="2"/>
      <scheme val="minor"/>
    </font>
    <font>
      <sz val="10"/>
      <color theme="1"/>
      <name val="Calibri"/>
      <family val="2"/>
      <scheme val="minor"/>
    </font>
    <font>
      <b/>
      <sz val="10"/>
      <color theme="1"/>
      <name val="Calibri"/>
      <family val="2"/>
      <scheme val="minor"/>
    </font>
    <font>
      <i/>
      <sz val="9.5"/>
      <color theme="1"/>
      <name val="Calibri"/>
      <family val="2"/>
      <scheme val="minor"/>
    </font>
    <font>
      <sz val="20"/>
      <color theme="1"/>
      <name val="Calibri"/>
      <family val="2"/>
      <scheme val="minor"/>
    </font>
    <font>
      <b/>
      <sz val="15"/>
      <color theme="1"/>
      <name val="Calibri"/>
      <family val="2"/>
      <scheme val="minor"/>
    </font>
    <font>
      <b/>
      <u/>
      <sz val="11"/>
      <color theme="1"/>
      <name val="Calibri"/>
      <family val="2"/>
      <scheme val="minor"/>
    </font>
    <font>
      <b/>
      <sz val="9"/>
      <color rgb="FF7030A0"/>
      <name val="Arial"/>
      <family val="2"/>
    </font>
    <font>
      <sz val="9"/>
      <color rgb="FF00B050"/>
      <name val="Arial"/>
      <family val="2"/>
    </font>
    <font>
      <b/>
      <u/>
      <sz val="9"/>
      <color rgb="FFFF0000"/>
      <name val="Arial"/>
      <family val="2"/>
    </font>
    <font>
      <i/>
      <sz val="9"/>
      <color theme="1"/>
      <name val="Arial"/>
      <family val="2"/>
    </font>
    <font>
      <b/>
      <sz val="9"/>
      <color rgb="FF00B050"/>
      <name val="Arial"/>
      <family val="2"/>
    </font>
    <font>
      <b/>
      <u/>
      <sz val="15"/>
      <color rgb="FFFF0000"/>
      <name val="Arial"/>
      <family val="2"/>
    </font>
    <font>
      <b/>
      <sz val="15"/>
      <color rgb="FFFF0000"/>
      <name val="Arial"/>
      <family val="2"/>
    </font>
  </fonts>
  <fills count="19">
    <fill>
      <patternFill patternType="none"/>
    </fill>
    <fill>
      <patternFill patternType="gray125"/>
    </fill>
    <fill>
      <patternFill patternType="solid">
        <fgColor rgb="FF2F2B20"/>
        <bgColor indexed="64"/>
      </patternFill>
    </fill>
    <fill>
      <patternFill patternType="solid">
        <fgColor rgb="FF000000"/>
        <bgColor indexed="64"/>
      </patternFill>
    </fill>
    <fill>
      <patternFill patternType="solid">
        <fgColor rgb="FFFFFF00"/>
        <bgColor indexed="64"/>
      </patternFill>
    </fill>
    <fill>
      <patternFill patternType="solid">
        <fgColor rgb="FFFF0000"/>
        <bgColor indexed="64"/>
      </patternFill>
    </fill>
    <fill>
      <patternFill patternType="solid">
        <fgColor rgb="FFE9D8BE"/>
        <bgColor indexed="64"/>
      </patternFill>
    </fill>
    <fill>
      <patternFill patternType="solid">
        <fgColor rgb="FF00B0F0"/>
        <bgColor indexed="64"/>
      </patternFill>
    </fill>
    <fill>
      <patternFill patternType="solid">
        <fgColor rgb="FF92D050"/>
        <bgColor indexed="64"/>
      </patternFill>
    </fill>
    <fill>
      <patternFill patternType="solid">
        <fgColor theme="7" tint="-0.249977111117893"/>
        <bgColor indexed="64"/>
      </patternFill>
    </fill>
    <fill>
      <patternFill patternType="solid">
        <fgColor theme="1"/>
        <bgColor indexed="64"/>
      </patternFill>
    </fill>
    <fill>
      <patternFill patternType="solid">
        <fgColor rgb="FFFFC000"/>
        <bgColor indexed="64"/>
      </patternFill>
    </fill>
    <fill>
      <patternFill patternType="solid">
        <fgColor theme="0" tint="-0.14999847407452621"/>
        <bgColor indexed="64"/>
      </patternFill>
    </fill>
    <fill>
      <patternFill patternType="solid">
        <fgColor rgb="FF9AD35B"/>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EE7E32"/>
        <bgColor indexed="64"/>
      </patternFill>
    </fill>
    <fill>
      <patternFill patternType="solid">
        <fgColor theme="0"/>
        <bgColor indexed="64"/>
      </patternFill>
    </fill>
  </fills>
  <borders count="105">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diagonal/>
    </border>
    <border>
      <left style="hair">
        <color indexed="64"/>
      </left>
      <right style="hair">
        <color indexed="64"/>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072">
    <xf numFmtId="0" fontId="0" fillId="0" borderId="0" xfId="0"/>
    <xf numFmtId="0" fontId="2" fillId="0" borderId="0" xfId="0" applyFont="1"/>
    <xf numFmtId="0" fontId="2" fillId="0" borderId="0" xfId="0" applyFont="1" applyAlignment="1">
      <alignment vertical="top"/>
    </xf>
    <xf numFmtId="0" fontId="4" fillId="4" borderId="11" xfId="0" applyFont="1" applyFill="1" applyBorder="1" applyAlignment="1">
      <alignment horizontal="left" vertical="center" wrapText="1"/>
    </xf>
    <xf numFmtId="0" fontId="4" fillId="7" borderId="11" xfId="0" applyFont="1" applyFill="1" applyBorder="1" applyAlignment="1">
      <alignment horizontal="left" vertical="center" wrapText="1"/>
    </xf>
    <xf numFmtId="0" fontId="4" fillId="8" borderId="11" xfId="0" applyFont="1" applyFill="1" applyBorder="1" applyAlignment="1">
      <alignment horizontal="left" vertical="center" wrapText="1"/>
    </xf>
    <xf numFmtId="0" fontId="5" fillId="0" borderId="22" xfId="0" applyFont="1" applyBorder="1" applyAlignment="1">
      <alignment horizontal="left" vertical="top" wrapText="1"/>
    </xf>
    <xf numFmtId="0" fontId="8" fillId="4" borderId="25" xfId="0" applyFont="1" applyFill="1" applyBorder="1" applyAlignment="1">
      <alignment horizontal="left" vertical="center" wrapText="1"/>
    </xf>
    <xf numFmtId="0" fontId="8" fillId="7" borderId="25" xfId="0" applyFont="1" applyFill="1" applyBorder="1" applyAlignment="1">
      <alignment horizontal="left" vertical="center" wrapText="1"/>
    </xf>
    <xf numFmtId="0" fontId="8" fillId="8" borderId="25" xfId="0" applyFont="1" applyFill="1" applyBorder="1" applyAlignment="1">
      <alignment horizontal="left" vertical="center" wrapText="1"/>
    </xf>
    <xf numFmtId="0" fontId="4" fillId="9" borderId="28" xfId="0" applyFont="1" applyFill="1" applyBorder="1" applyAlignment="1">
      <alignment horizontal="left" vertical="center" wrapText="1"/>
    </xf>
    <xf numFmtId="0" fontId="8" fillId="9" borderId="29" xfId="0" applyFont="1" applyFill="1" applyBorder="1" applyAlignment="1">
      <alignment horizontal="left" vertical="center" wrapText="1"/>
    </xf>
    <xf numFmtId="0" fontId="9" fillId="0" borderId="0" xfId="0" applyFont="1"/>
    <xf numFmtId="0" fontId="10" fillId="0" borderId="0" xfId="0" applyFont="1"/>
    <xf numFmtId="0" fontId="2" fillId="0" borderId="30" xfId="0" applyFont="1" applyBorder="1"/>
    <xf numFmtId="0" fontId="2" fillId="0" borderId="31" xfId="0" applyFont="1" applyBorder="1"/>
    <xf numFmtId="0" fontId="2" fillId="0" borderId="11" xfId="0" applyFont="1" applyBorder="1"/>
    <xf numFmtId="0" fontId="2" fillId="0" borderId="0" xfId="0" applyFont="1" applyAlignment="1">
      <alignment horizontal="center"/>
    </xf>
    <xf numFmtId="0" fontId="2" fillId="0" borderId="0" xfId="0" applyFont="1" applyAlignment="1">
      <alignment horizontal="center" vertical="top"/>
    </xf>
    <xf numFmtId="0" fontId="17" fillId="6" borderId="5" xfId="0" applyFont="1" applyFill="1" applyBorder="1" applyAlignment="1">
      <alignment horizontal="left" vertical="top" wrapText="1"/>
    </xf>
    <xf numFmtId="164" fontId="14" fillId="6" borderId="5" xfId="0" applyNumberFormat="1" applyFont="1" applyFill="1" applyBorder="1" applyAlignment="1">
      <alignment horizontal="left" vertical="top" wrapText="1"/>
    </xf>
    <xf numFmtId="0" fontId="15" fillId="0" borderId="0" xfId="0" applyFont="1" applyAlignment="1">
      <alignment horizontal="left"/>
    </xf>
    <xf numFmtId="0" fontId="13" fillId="7" borderId="5" xfId="0" applyFont="1" applyFill="1" applyBorder="1" applyAlignment="1">
      <alignment vertical="top" wrapText="1"/>
    </xf>
    <xf numFmtId="0" fontId="15" fillId="0" borderId="0" xfId="0" applyFont="1" applyAlignment="1">
      <alignment horizontal="left" vertical="top"/>
    </xf>
    <xf numFmtId="164" fontId="15" fillId="0" borderId="0" xfId="0" applyNumberFormat="1" applyFont="1" applyAlignment="1">
      <alignment horizontal="left"/>
    </xf>
    <xf numFmtId="0" fontId="14" fillId="6" borderId="36" xfId="0" applyFont="1" applyFill="1" applyBorder="1" applyAlignment="1">
      <alignment horizontal="left" vertical="top" wrapText="1"/>
    </xf>
    <xf numFmtId="0" fontId="16" fillId="10" borderId="39" xfId="0" applyFont="1" applyFill="1" applyBorder="1" applyAlignment="1">
      <alignment horizontal="left" vertical="top"/>
    </xf>
    <xf numFmtId="0" fontId="14" fillId="6" borderId="25" xfId="0" applyFont="1" applyFill="1" applyBorder="1" applyAlignment="1">
      <alignment horizontal="left" vertical="top" wrapText="1"/>
    </xf>
    <xf numFmtId="0" fontId="14" fillId="6" borderId="43" xfId="0" applyFont="1" applyFill="1" applyBorder="1" applyAlignment="1">
      <alignment horizontal="left" vertical="top" wrapText="1"/>
    </xf>
    <xf numFmtId="15" fontId="14" fillId="6" borderId="46" xfId="0" applyNumberFormat="1" applyFont="1" applyFill="1" applyBorder="1" applyAlignment="1">
      <alignment horizontal="left" vertical="top" wrapText="1"/>
    </xf>
    <xf numFmtId="0" fontId="14" fillId="6" borderId="34" xfId="0" applyFont="1" applyFill="1" applyBorder="1" applyAlignment="1">
      <alignment horizontal="left" vertical="top" wrapText="1"/>
    </xf>
    <xf numFmtId="0" fontId="16" fillId="10" borderId="38" xfId="0" applyFont="1" applyFill="1" applyBorder="1" applyAlignment="1">
      <alignment horizontal="right" vertical="top"/>
    </xf>
    <xf numFmtId="164" fontId="14" fillId="6" borderId="36" xfId="0" applyNumberFormat="1" applyFont="1" applyFill="1" applyBorder="1" applyAlignment="1">
      <alignment horizontal="right" vertical="top" wrapText="1"/>
    </xf>
    <xf numFmtId="164" fontId="15" fillId="0" borderId="0" xfId="0" applyNumberFormat="1" applyFont="1" applyAlignment="1">
      <alignment horizontal="right"/>
    </xf>
    <xf numFmtId="0" fontId="15" fillId="0" borderId="0" xfId="0" applyFont="1" applyAlignment="1">
      <alignment horizontal="center"/>
    </xf>
    <xf numFmtId="0" fontId="23" fillId="0" borderId="0" xfId="0" applyFont="1" applyAlignment="1">
      <alignment horizontal="left"/>
    </xf>
    <xf numFmtId="0" fontId="23" fillId="0" borderId="0" xfId="0" applyFont="1" applyAlignment="1">
      <alignment horizontal="center"/>
    </xf>
    <xf numFmtId="0" fontId="20" fillId="0" borderId="0" xfId="0" applyFont="1" applyAlignment="1">
      <alignment horizontal="left"/>
    </xf>
    <xf numFmtId="164" fontId="23" fillId="0" borderId="0" xfId="0" applyNumberFormat="1" applyFont="1" applyAlignment="1">
      <alignment horizontal="right"/>
    </xf>
    <xf numFmtId="164" fontId="16" fillId="10" borderId="9" xfId="0" applyNumberFormat="1" applyFont="1" applyFill="1" applyBorder="1" applyAlignment="1">
      <alignment horizontal="right" vertical="top"/>
    </xf>
    <xf numFmtId="164" fontId="23" fillId="0" borderId="0" xfId="0" applyNumberFormat="1" applyFont="1" applyAlignment="1">
      <alignment horizontal="left"/>
    </xf>
    <xf numFmtId="6" fontId="14" fillId="6" borderId="49" xfId="0" applyNumberFormat="1" applyFont="1" applyFill="1" applyBorder="1" applyAlignment="1">
      <alignment horizontal="left" vertical="top" wrapText="1"/>
    </xf>
    <xf numFmtId="0" fontId="18" fillId="10" borderId="9" xfId="0" applyFont="1" applyFill="1" applyBorder="1" applyAlignment="1">
      <alignment horizontal="left" vertical="top"/>
    </xf>
    <xf numFmtId="0" fontId="18" fillId="9" borderId="5" xfId="0" applyFont="1" applyFill="1" applyBorder="1" applyAlignment="1">
      <alignment vertical="top" wrapText="1"/>
    </xf>
    <xf numFmtId="0" fontId="14" fillId="8" borderId="5" xfId="0" applyFont="1" applyFill="1" applyBorder="1" applyAlignment="1">
      <alignment vertical="top" wrapText="1"/>
    </xf>
    <xf numFmtId="0" fontId="2" fillId="0" borderId="25" xfId="0" applyFont="1" applyBorder="1" applyAlignment="1">
      <alignment horizontal="left"/>
    </xf>
    <xf numFmtId="164" fontId="2" fillId="0" borderId="34" xfId="0" applyNumberFormat="1" applyFont="1" applyBorder="1" applyAlignment="1">
      <alignment horizontal="left"/>
    </xf>
    <xf numFmtId="0" fontId="2" fillId="0" borderId="33" xfId="0" applyFont="1" applyBorder="1" applyAlignment="1">
      <alignment horizontal="left"/>
    </xf>
    <xf numFmtId="0" fontId="24" fillId="0" borderId="0" xfId="0" applyFont="1" applyAlignment="1">
      <alignment horizontal="center"/>
    </xf>
    <xf numFmtId="0" fontId="10" fillId="0" borderId="0" xfId="0" applyFont="1" applyAlignment="1">
      <alignment horizontal="center"/>
    </xf>
    <xf numFmtId="0" fontId="24" fillId="0" borderId="0" xfId="0" applyFont="1" applyAlignment="1">
      <alignment horizontal="center" vertical="top"/>
    </xf>
    <xf numFmtId="0" fontId="24" fillId="4" borderId="0" xfId="0" applyFont="1" applyFill="1" applyAlignment="1">
      <alignment horizontal="center"/>
    </xf>
    <xf numFmtId="0" fontId="2" fillId="7" borderId="0" xfId="0" applyFont="1" applyFill="1" applyAlignment="1">
      <alignment horizontal="center"/>
    </xf>
    <xf numFmtId="0" fontId="2" fillId="8" borderId="0" xfId="0" applyFont="1" applyFill="1" applyAlignment="1">
      <alignment horizontal="center"/>
    </xf>
    <xf numFmtId="0" fontId="2" fillId="9" borderId="0" xfId="0" applyFont="1" applyFill="1" applyAlignment="1">
      <alignment horizontal="center"/>
    </xf>
    <xf numFmtId="9" fontId="24" fillId="4" borderId="0" xfId="1" applyFont="1" applyFill="1" applyAlignment="1">
      <alignment horizontal="center"/>
    </xf>
    <xf numFmtId="9" fontId="2" fillId="7" borderId="0" xfId="1" applyFont="1" applyFill="1" applyAlignment="1">
      <alignment horizontal="center"/>
    </xf>
    <xf numFmtId="9" fontId="2" fillId="8" borderId="0" xfId="1" applyFont="1" applyFill="1" applyAlignment="1">
      <alignment horizontal="center"/>
    </xf>
    <xf numFmtId="9" fontId="2" fillId="9" borderId="0" xfId="1" applyFont="1" applyFill="1" applyAlignment="1">
      <alignment horizontal="center"/>
    </xf>
    <xf numFmtId="0" fontId="23" fillId="0" borderId="5" xfId="0" applyFont="1" applyBorder="1" applyAlignment="1">
      <alignment vertical="top" wrapText="1"/>
    </xf>
    <xf numFmtId="0" fontId="15" fillId="10" borderId="0" xfId="0" applyFont="1" applyFill="1" applyAlignment="1">
      <alignment horizontal="left" vertical="top"/>
    </xf>
    <xf numFmtId="0" fontId="15" fillId="0" borderId="5" xfId="0" applyFont="1" applyBorder="1" applyAlignment="1">
      <alignment horizontal="left" vertical="top" wrapText="1"/>
    </xf>
    <xf numFmtId="9" fontId="15" fillId="0" borderId="5" xfId="1" applyFont="1" applyBorder="1" applyAlignment="1">
      <alignment horizontal="left" vertical="top"/>
    </xf>
    <xf numFmtId="0" fontId="23" fillId="9" borderId="5" xfId="0" applyFont="1" applyFill="1" applyBorder="1" applyAlignment="1">
      <alignment horizontal="left" vertical="top"/>
    </xf>
    <xf numFmtId="0" fontId="23" fillId="9" borderId="5" xfId="0" applyFont="1" applyFill="1" applyBorder="1" applyAlignment="1">
      <alignment horizontal="left" vertical="top" wrapText="1"/>
    </xf>
    <xf numFmtId="0" fontId="23" fillId="0" borderId="13" xfId="0" applyFont="1" applyBorder="1" applyAlignment="1">
      <alignment vertical="top" wrapText="1"/>
    </xf>
    <xf numFmtId="0" fontId="23" fillId="0" borderId="22" xfId="0" applyFont="1" applyBorder="1" applyAlignment="1">
      <alignment vertical="top" wrapText="1"/>
    </xf>
    <xf numFmtId="0" fontId="23" fillId="0" borderId="25" xfId="0" applyFont="1" applyBorder="1" applyAlignment="1">
      <alignment horizontal="left" vertical="top"/>
    </xf>
    <xf numFmtId="9" fontId="15" fillId="0" borderId="5" xfId="1" applyFont="1" applyBorder="1" applyAlignment="1">
      <alignment horizontal="center" vertical="top"/>
    </xf>
    <xf numFmtId="0" fontId="23" fillId="9" borderId="22" xfId="0" applyFont="1" applyFill="1" applyBorder="1" applyAlignment="1">
      <alignment vertical="top" wrapText="1"/>
    </xf>
    <xf numFmtId="0" fontId="15" fillId="7" borderId="22" xfId="0" applyFont="1" applyFill="1" applyBorder="1" applyAlignment="1">
      <alignment horizontal="left" vertical="top" wrapText="1"/>
    </xf>
    <xf numFmtId="0" fontId="15" fillId="7" borderId="51" xfId="0" applyFont="1" applyFill="1" applyBorder="1" applyAlignment="1">
      <alignment horizontal="left" vertical="top" wrapText="1"/>
    </xf>
    <xf numFmtId="9" fontId="15" fillId="0" borderId="46" xfId="1" applyFont="1" applyBorder="1" applyAlignment="1">
      <alignment horizontal="left" vertical="top"/>
    </xf>
    <xf numFmtId="0" fontId="23" fillId="9" borderId="21" xfId="0" applyFont="1" applyFill="1" applyBorder="1" applyAlignment="1">
      <alignment horizontal="left" vertical="top" wrapText="1"/>
    </xf>
    <xf numFmtId="0" fontId="15" fillId="0" borderId="12" xfId="0" applyFont="1" applyBorder="1" applyAlignment="1">
      <alignment vertical="top" wrapText="1"/>
    </xf>
    <xf numFmtId="0" fontId="23" fillId="7" borderId="22" xfId="0" applyFont="1" applyFill="1" applyBorder="1" applyAlignment="1">
      <alignment vertical="top" wrapText="1"/>
    </xf>
    <xf numFmtId="0" fontId="23" fillId="7" borderId="5" xfId="0" applyFont="1" applyFill="1" applyBorder="1" applyAlignment="1">
      <alignment horizontal="left" vertical="top"/>
    </xf>
    <xf numFmtId="0" fontId="23" fillId="7" borderId="5" xfId="0" applyFont="1" applyFill="1" applyBorder="1" applyAlignment="1">
      <alignment horizontal="left" vertical="top" wrapText="1"/>
    </xf>
    <xf numFmtId="0" fontId="23" fillId="7" borderId="21" xfId="0" applyFont="1" applyFill="1" applyBorder="1" applyAlignment="1">
      <alignment horizontal="left" vertical="top" wrapText="1"/>
    </xf>
    <xf numFmtId="0" fontId="23" fillId="0" borderId="11" xfId="0" applyFont="1" applyBorder="1" applyAlignment="1">
      <alignment horizontal="left" vertical="top"/>
    </xf>
    <xf numFmtId="44" fontId="15" fillId="0" borderId="5" xfId="1" applyNumberFormat="1" applyFont="1" applyBorder="1" applyAlignment="1">
      <alignment vertical="top"/>
    </xf>
    <xf numFmtId="0" fontId="15" fillId="0" borderId="25" xfId="1" applyNumberFormat="1" applyFont="1" applyBorder="1" applyAlignment="1">
      <alignment vertical="top" wrapText="1"/>
    </xf>
    <xf numFmtId="9" fontId="15" fillId="0" borderId="11" xfId="1" applyFont="1" applyBorder="1" applyAlignment="1">
      <alignment horizontal="center" vertical="top" wrapText="1"/>
    </xf>
    <xf numFmtId="0" fontId="15" fillId="7" borderId="22" xfId="0" applyFont="1" applyFill="1" applyBorder="1" applyAlignment="1">
      <alignment vertical="top" wrapText="1"/>
    </xf>
    <xf numFmtId="0" fontId="23" fillId="0" borderId="12" xfId="0" applyFont="1" applyBorder="1" applyAlignment="1">
      <alignment vertical="top" wrapText="1"/>
    </xf>
    <xf numFmtId="9" fontId="15" fillId="0" borderId="25" xfId="1" applyFont="1" applyBorder="1" applyAlignment="1">
      <alignment horizontal="center" vertical="top" wrapText="1"/>
    </xf>
    <xf numFmtId="9" fontId="15" fillId="0" borderId="5" xfId="1" applyFont="1" applyBorder="1" applyAlignment="1">
      <alignment horizontal="left" vertical="top" wrapText="1"/>
    </xf>
    <xf numFmtId="15" fontId="15" fillId="0" borderId="5" xfId="1" applyNumberFormat="1" applyFont="1" applyBorder="1" applyAlignment="1">
      <alignment horizontal="left" vertical="top"/>
    </xf>
    <xf numFmtId="0" fontId="23" fillId="8" borderId="22" xfId="0" applyFont="1" applyFill="1" applyBorder="1" applyAlignment="1">
      <alignment vertical="top" wrapText="1"/>
    </xf>
    <xf numFmtId="0" fontId="23" fillId="5" borderId="22" xfId="0" applyFont="1" applyFill="1" applyBorder="1" applyAlignment="1">
      <alignment vertical="top" wrapText="1"/>
    </xf>
    <xf numFmtId="0" fontId="15" fillId="5" borderId="22" xfId="0" applyFont="1" applyFill="1" applyBorder="1" applyAlignment="1">
      <alignment horizontal="left" vertical="top" wrapText="1"/>
    </xf>
    <xf numFmtId="15" fontId="15" fillId="0" borderId="5" xfId="0" applyNumberFormat="1" applyFont="1" applyBorder="1" applyAlignment="1">
      <alignment horizontal="left" vertical="top"/>
    </xf>
    <xf numFmtId="44" fontId="15" fillId="0" borderId="5" xfId="0" applyNumberFormat="1" applyFont="1" applyBorder="1" applyAlignment="1">
      <alignment horizontal="left" vertical="top"/>
    </xf>
    <xf numFmtId="0" fontId="15" fillId="0" borderId="25" xfId="0" applyFont="1" applyBorder="1" applyAlignment="1">
      <alignment horizontal="left" vertical="top" wrapText="1"/>
    </xf>
    <xf numFmtId="0" fontId="15" fillId="0" borderId="46" xfId="0" applyFont="1" applyBorder="1" applyAlignment="1">
      <alignment horizontal="left" vertical="top" wrapText="1"/>
    </xf>
    <xf numFmtId="0" fontId="15" fillId="0" borderId="0" xfId="0" applyFont="1"/>
    <xf numFmtId="0" fontId="20" fillId="0" borderId="0" xfId="0" applyFont="1" applyAlignment="1">
      <alignment horizontal="center"/>
    </xf>
    <xf numFmtId="0" fontId="15" fillId="0" borderId="25" xfId="1" applyNumberFormat="1" applyFont="1" applyFill="1" applyBorder="1" applyAlignment="1">
      <alignment vertical="top" wrapText="1"/>
    </xf>
    <xf numFmtId="9" fontId="15" fillId="0" borderId="5" xfId="1" applyFont="1" applyFill="1" applyBorder="1" applyAlignment="1">
      <alignment horizontal="center" vertical="top"/>
    </xf>
    <xf numFmtId="44" fontId="15" fillId="0" borderId="5" xfId="1" applyNumberFormat="1" applyFont="1" applyFill="1" applyBorder="1" applyAlignment="1">
      <alignment vertical="top"/>
    </xf>
    <xf numFmtId="15" fontId="15" fillId="0" borderId="5" xfId="1" applyNumberFormat="1" applyFont="1" applyFill="1" applyBorder="1" applyAlignment="1">
      <alignment horizontal="left" vertical="top"/>
    </xf>
    <xf numFmtId="9" fontId="15" fillId="0" borderId="5" xfId="1" applyFont="1" applyFill="1" applyBorder="1" applyAlignment="1">
      <alignment horizontal="left" vertical="top" wrapText="1"/>
    </xf>
    <xf numFmtId="9" fontId="15" fillId="0" borderId="11" xfId="1" applyFont="1" applyFill="1" applyBorder="1" applyAlignment="1">
      <alignment horizontal="center" vertical="top" wrapText="1"/>
    </xf>
    <xf numFmtId="9" fontId="15" fillId="0" borderId="25" xfId="1" applyFont="1" applyFill="1" applyBorder="1" applyAlignment="1">
      <alignment horizontal="center" vertical="top" wrapText="1"/>
    </xf>
    <xf numFmtId="0" fontId="14" fillId="6" borderId="44" xfId="0" applyFont="1" applyFill="1" applyBorder="1" applyAlignment="1">
      <alignment vertical="top" wrapText="1"/>
    </xf>
    <xf numFmtId="0" fontId="17" fillId="6" borderId="15" xfId="0" applyFont="1" applyFill="1" applyBorder="1" applyAlignment="1">
      <alignment vertical="top" wrapText="1"/>
    </xf>
    <xf numFmtId="0" fontId="13" fillId="8" borderId="26" xfId="0" applyFont="1" applyFill="1" applyBorder="1" applyAlignment="1">
      <alignment vertical="top" wrapText="1"/>
    </xf>
    <xf numFmtId="0" fontId="14" fillId="6" borderId="41" xfId="0" applyFont="1" applyFill="1" applyBorder="1" applyAlignment="1">
      <alignment vertical="top" wrapText="1"/>
    </xf>
    <xf numFmtId="0" fontId="14" fillId="6" borderId="36" xfId="0" applyFont="1" applyFill="1" applyBorder="1" applyAlignment="1">
      <alignment horizontal="center" vertical="top" wrapText="1"/>
    </xf>
    <xf numFmtId="164" fontId="14" fillId="6" borderId="36" xfId="0" applyNumberFormat="1" applyFont="1" applyFill="1" applyBorder="1" applyAlignment="1">
      <alignment horizontal="left" vertical="top" wrapText="1"/>
    </xf>
    <xf numFmtId="0" fontId="14" fillId="6" borderId="35" xfId="0" applyFont="1" applyFill="1" applyBorder="1" applyAlignment="1">
      <alignment horizontal="center" vertical="top" wrapText="1"/>
    </xf>
    <xf numFmtId="0" fontId="14" fillId="6" borderId="59" xfId="0" applyFont="1" applyFill="1" applyBorder="1" applyAlignment="1">
      <alignment horizontal="left" vertical="top" wrapText="1"/>
    </xf>
    <xf numFmtId="0" fontId="14" fillId="6" borderId="60" xfId="0" applyFont="1" applyFill="1" applyBorder="1" applyAlignment="1">
      <alignment horizontal="left" vertical="top" wrapText="1"/>
    </xf>
    <xf numFmtId="164" fontId="14" fillId="6" borderId="60" xfId="0" applyNumberFormat="1" applyFont="1" applyFill="1" applyBorder="1" applyAlignment="1">
      <alignment horizontal="left" vertical="top" wrapText="1"/>
    </xf>
    <xf numFmtId="164" fontId="14" fillId="6" borderId="60" xfId="0" applyNumberFormat="1" applyFont="1" applyFill="1" applyBorder="1" applyAlignment="1">
      <alignment horizontal="right" vertical="top" wrapText="1"/>
    </xf>
    <xf numFmtId="0" fontId="15" fillId="8" borderId="22" xfId="0" applyFont="1" applyFill="1" applyBorder="1" applyAlignment="1">
      <alignment horizontal="left" vertical="top" wrapText="1"/>
    </xf>
    <xf numFmtId="0" fontId="23" fillId="8" borderId="13" xfId="0" applyFont="1" applyFill="1" applyBorder="1" applyAlignment="1">
      <alignment vertical="top" wrapText="1"/>
    </xf>
    <xf numFmtId="0" fontId="14" fillId="8" borderId="16" xfId="0" applyFont="1" applyFill="1" applyBorder="1" applyAlignment="1">
      <alignment horizontal="left" vertical="top" wrapText="1"/>
    </xf>
    <xf numFmtId="0" fontId="23" fillId="5" borderId="13" xfId="0" applyFont="1" applyFill="1" applyBorder="1" applyAlignment="1">
      <alignment vertical="top" wrapText="1"/>
    </xf>
    <xf numFmtId="0" fontId="14" fillId="11" borderId="16" xfId="0" applyFont="1" applyFill="1" applyBorder="1" applyAlignment="1">
      <alignment horizontal="left" vertical="top" wrapText="1"/>
    </xf>
    <xf numFmtId="0" fontId="23" fillId="7" borderId="22" xfId="0" applyFont="1" applyFill="1" applyBorder="1" applyAlignment="1">
      <alignment horizontal="left" vertical="top" wrapText="1"/>
    </xf>
    <xf numFmtId="0" fontId="14" fillId="5" borderId="36" xfId="0" applyFont="1" applyFill="1" applyBorder="1" applyAlignment="1">
      <alignment horizontal="left" vertical="top" wrapText="1"/>
    </xf>
    <xf numFmtId="0" fontId="17" fillId="6" borderId="14" xfId="0" applyFont="1" applyFill="1" applyBorder="1" applyAlignment="1">
      <alignment vertical="top" wrapText="1"/>
    </xf>
    <xf numFmtId="0" fontId="13" fillId="8" borderId="24" xfId="0" applyFont="1" applyFill="1" applyBorder="1" applyAlignment="1">
      <alignment vertical="top" wrapText="1"/>
    </xf>
    <xf numFmtId="0" fontId="23" fillId="8" borderId="21" xfId="0" applyFont="1" applyFill="1" applyBorder="1" applyAlignment="1">
      <alignment horizontal="left" vertical="top" wrapText="1"/>
    </xf>
    <xf numFmtId="0" fontId="23" fillId="8" borderId="5" xfId="0" applyFont="1" applyFill="1" applyBorder="1" applyAlignment="1">
      <alignment horizontal="left" vertical="top" wrapText="1"/>
    </xf>
    <xf numFmtId="0" fontId="23" fillId="8" borderId="5" xfId="0" applyFont="1" applyFill="1" applyBorder="1" applyAlignment="1">
      <alignment horizontal="left" vertical="top"/>
    </xf>
    <xf numFmtId="0" fontId="23" fillId="11" borderId="22" xfId="0" applyFont="1" applyFill="1" applyBorder="1" applyAlignment="1">
      <alignment vertical="top" wrapText="1"/>
    </xf>
    <xf numFmtId="0" fontId="23" fillId="10" borderId="0" xfId="0" applyFont="1" applyFill="1" applyAlignment="1">
      <alignment horizontal="left" vertical="top"/>
    </xf>
    <xf numFmtId="0" fontId="23" fillId="7" borderId="12" xfId="0" applyFont="1" applyFill="1" applyBorder="1" applyAlignment="1">
      <alignment horizontal="left" vertical="top" wrapText="1"/>
    </xf>
    <xf numFmtId="0" fontId="23" fillId="7" borderId="53" xfId="0" applyFont="1" applyFill="1" applyBorder="1" applyAlignment="1">
      <alignment horizontal="left" vertical="top" wrapText="1"/>
    </xf>
    <xf numFmtId="9" fontId="15" fillId="10" borderId="0" xfId="1" applyFont="1" applyFill="1" applyAlignment="1">
      <alignment horizontal="left" vertical="top"/>
    </xf>
    <xf numFmtId="9" fontId="23" fillId="0" borderId="25" xfId="1" applyFont="1" applyBorder="1" applyAlignment="1">
      <alignment horizontal="left" vertical="top"/>
    </xf>
    <xf numFmtId="9" fontId="15" fillId="0" borderId="12" xfId="1" applyFont="1" applyBorder="1" applyAlignment="1">
      <alignment horizontal="left" vertical="top" wrapText="1"/>
    </xf>
    <xf numFmtId="9" fontId="15" fillId="0" borderId="53" xfId="1" applyFont="1" applyBorder="1" applyAlignment="1">
      <alignment horizontal="left" vertical="top"/>
    </xf>
    <xf numFmtId="9" fontId="23" fillId="0" borderId="0" xfId="1" applyFont="1" applyAlignment="1">
      <alignment horizontal="left"/>
    </xf>
    <xf numFmtId="9" fontId="15" fillId="0" borderId="0" xfId="1" applyFont="1" applyAlignment="1">
      <alignment horizontal="left"/>
    </xf>
    <xf numFmtId="0" fontId="15" fillId="0" borderId="5" xfId="0" applyFont="1" applyBorder="1" applyAlignment="1">
      <alignment vertical="top" wrapText="1"/>
    </xf>
    <xf numFmtId="0" fontId="23" fillId="5" borderId="13" xfId="0" applyFont="1" applyFill="1" applyBorder="1" applyAlignment="1">
      <alignment horizontal="left" vertical="top" wrapText="1"/>
    </xf>
    <xf numFmtId="0" fontId="15" fillId="8" borderId="13" xfId="0" applyFont="1" applyFill="1" applyBorder="1" applyAlignment="1">
      <alignment horizontal="left" vertical="top" wrapText="1"/>
    </xf>
    <xf numFmtId="0" fontId="15" fillId="5" borderId="13" xfId="0" applyFont="1" applyFill="1" applyBorder="1" applyAlignment="1">
      <alignment horizontal="left" vertical="top" wrapText="1"/>
    </xf>
    <xf numFmtId="0" fontId="23" fillId="7" borderId="13" xfId="0" applyFont="1" applyFill="1" applyBorder="1" applyAlignment="1">
      <alignment vertical="top" wrapText="1"/>
    </xf>
    <xf numFmtId="0" fontId="23" fillId="8" borderId="20" xfId="0" applyFont="1" applyFill="1" applyBorder="1" applyAlignment="1">
      <alignment vertical="top" wrapText="1"/>
    </xf>
    <xf numFmtId="9" fontId="15" fillId="0" borderId="21" xfId="1" applyFont="1" applyBorder="1" applyAlignment="1">
      <alignment vertical="top" wrapText="1"/>
    </xf>
    <xf numFmtId="0" fontId="18" fillId="8" borderId="26" xfId="0" applyFont="1" applyFill="1" applyBorder="1" applyAlignment="1">
      <alignment vertical="top" wrapText="1"/>
    </xf>
    <xf numFmtId="0" fontId="26" fillId="6" borderId="15" xfId="0" applyFont="1" applyFill="1" applyBorder="1" applyAlignment="1">
      <alignment vertical="top" wrapText="1"/>
    </xf>
    <xf numFmtId="0" fontId="25" fillId="6" borderId="62" xfId="0" applyFont="1" applyFill="1" applyBorder="1" applyAlignment="1">
      <alignment horizontal="left" vertical="top" wrapText="1"/>
    </xf>
    <xf numFmtId="9" fontId="19" fillId="0" borderId="5" xfId="1" applyFont="1" applyFill="1" applyBorder="1" applyAlignment="1">
      <alignment horizontal="center" vertical="top"/>
    </xf>
    <xf numFmtId="9" fontId="19" fillId="0" borderId="5" xfId="1" applyFont="1" applyFill="1" applyBorder="1" applyAlignment="1">
      <alignment horizontal="left" vertical="top" wrapText="1"/>
    </xf>
    <xf numFmtId="15" fontId="19" fillId="0" borderId="5" xfId="1" applyNumberFormat="1" applyFont="1" applyFill="1" applyBorder="1" applyAlignment="1">
      <alignment horizontal="left" vertical="top"/>
    </xf>
    <xf numFmtId="44" fontId="19" fillId="0" borderId="5" xfId="1" applyNumberFormat="1" applyFont="1" applyFill="1" applyBorder="1" applyAlignment="1">
      <alignment vertical="top"/>
    </xf>
    <xf numFmtId="0" fontId="19" fillId="0" borderId="25" xfId="1" applyNumberFormat="1" applyFont="1" applyFill="1" applyBorder="1" applyAlignment="1">
      <alignment vertical="top" wrapText="1"/>
    </xf>
    <xf numFmtId="0" fontId="19" fillId="0" borderId="0" xfId="0" applyFont="1" applyAlignment="1">
      <alignment horizontal="left" vertical="top"/>
    </xf>
    <xf numFmtId="0" fontId="19" fillId="0" borderId="36" xfId="0" applyFont="1" applyBorder="1" applyAlignment="1">
      <alignment vertical="top" wrapText="1"/>
    </xf>
    <xf numFmtId="9" fontId="19" fillId="0" borderId="36" xfId="1" applyFont="1" applyFill="1" applyBorder="1" applyAlignment="1">
      <alignment horizontal="center" vertical="top"/>
    </xf>
    <xf numFmtId="9" fontId="19" fillId="0" borderId="36" xfId="1" applyFont="1" applyFill="1" applyBorder="1" applyAlignment="1">
      <alignment horizontal="left" vertical="top" wrapText="1"/>
    </xf>
    <xf numFmtId="15" fontId="19" fillId="0" borderId="36" xfId="1" applyNumberFormat="1" applyFont="1" applyFill="1" applyBorder="1" applyAlignment="1">
      <alignment horizontal="left" vertical="top"/>
    </xf>
    <xf numFmtId="0" fontId="19" fillId="0" borderId="35" xfId="0" applyFont="1" applyBorder="1" applyAlignment="1">
      <alignment vertical="top" wrapText="1"/>
    </xf>
    <xf numFmtId="9" fontId="19" fillId="0" borderId="48" xfId="1" applyFont="1" applyFill="1" applyBorder="1" applyAlignment="1">
      <alignment horizontal="center" vertical="top"/>
    </xf>
    <xf numFmtId="9" fontId="19" fillId="0" borderId="48" xfId="1" applyFont="1" applyFill="1" applyBorder="1" applyAlignment="1">
      <alignment horizontal="left" vertical="top" wrapText="1"/>
    </xf>
    <xf numFmtId="15" fontId="19" fillId="0" borderId="48" xfId="1" applyNumberFormat="1" applyFont="1" applyFill="1" applyBorder="1" applyAlignment="1">
      <alignment horizontal="left" vertical="top"/>
    </xf>
    <xf numFmtId="9" fontId="19" fillId="0" borderId="72" xfId="0" applyNumberFormat="1" applyFont="1" applyBorder="1" applyAlignment="1">
      <alignment vertical="top" wrapText="1"/>
    </xf>
    <xf numFmtId="0" fontId="19" fillId="0" borderId="60" xfId="0" applyFont="1" applyBorder="1" applyAlignment="1">
      <alignment vertical="top" wrapText="1"/>
    </xf>
    <xf numFmtId="9" fontId="19" fillId="0" borderId="16" xfId="1" applyFont="1" applyFill="1" applyBorder="1" applyAlignment="1">
      <alignment horizontal="center" vertical="top"/>
    </xf>
    <xf numFmtId="9" fontId="19" fillId="0" borderId="16" xfId="1" applyFont="1" applyFill="1" applyBorder="1" applyAlignment="1">
      <alignment horizontal="left" vertical="top" wrapText="1"/>
    </xf>
    <xf numFmtId="15" fontId="19" fillId="0" borderId="16" xfId="1" applyNumberFormat="1" applyFont="1" applyFill="1" applyBorder="1" applyAlignment="1">
      <alignment horizontal="left" vertical="top"/>
    </xf>
    <xf numFmtId="9" fontId="15" fillId="0" borderId="21" xfId="0" applyNumberFormat="1" applyFont="1" applyBorder="1" applyAlignment="1">
      <alignment vertical="top" wrapText="1"/>
    </xf>
    <xf numFmtId="9" fontId="15" fillId="0" borderId="13" xfId="1" applyFont="1" applyBorder="1" applyAlignment="1">
      <alignment vertical="top" wrapText="1"/>
    </xf>
    <xf numFmtId="0" fontId="23" fillId="8" borderId="11" xfId="0" applyFont="1" applyFill="1" applyBorder="1" applyAlignment="1">
      <alignment vertical="top" wrapText="1"/>
    </xf>
    <xf numFmtId="0" fontId="23" fillId="8" borderId="5" xfId="0" applyFont="1" applyFill="1" applyBorder="1" applyAlignment="1">
      <alignment vertical="top" wrapText="1"/>
    </xf>
    <xf numFmtId="0" fontId="23" fillId="5" borderId="5" xfId="0" applyFont="1" applyFill="1" applyBorder="1" applyAlignment="1">
      <alignment vertical="top" wrapText="1"/>
    </xf>
    <xf numFmtId="0" fontId="23" fillId="5" borderId="11" xfId="0" applyFont="1" applyFill="1" applyBorder="1" applyAlignment="1">
      <alignment vertical="top" wrapText="1"/>
    </xf>
    <xf numFmtId="0" fontId="18" fillId="6" borderId="16" xfId="0" applyFont="1" applyFill="1" applyBorder="1" applyAlignment="1">
      <alignment vertical="top" wrapText="1"/>
    </xf>
    <xf numFmtId="0" fontId="19" fillId="6" borderId="16" xfId="0" applyFont="1" applyFill="1" applyBorder="1" applyAlignment="1">
      <alignment horizontal="left" vertical="top" wrapText="1"/>
    </xf>
    <xf numFmtId="0" fontId="19" fillId="6" borderId="5" xfId="0" applyFont="1" applyFill="1" applyBorder="1" applyAlignment="1">
      <alignment vertical="top" wrapText="1"/>
    </xf>
    <xf numFmtId="0" fontId="19" fillId="6" borderId="5" xfId="0" applyFont="1" applyFill="1" applyBorder="1" applyAlignment="1">
      <alignment horizontal="left" vertical="top" wrapText="1"/>
    </xf>
    <xf numFmtId="0" fontId="19" fillId="6" borderId="16" xfId="0" applyFont="1" applyFill="1" applyBorder="1" applyAlignment="1">
      <alignment horizontal="center" vertical="top" wrapText="1"/>
    </xf>
    <xf numFmtId="0" fontId="19" fillId="6" borderId="15" xfId="0" applyFont="1" applyFill="1" applyBorder="1" applyAlignment="1">
      <alignment horizontal="left" vertical="top" wrapText="1"/>
    </xf>
    <xf numFmtId="15" fontId="19" fillId="6" borderId="15" xfId="0" applyNumberFormat="1" applyFont="1" applyFill="1" applyBorder="1" applyAlignment="1">
      <alignment horizontal="left" vertical="top" wrapText="1"/>
    </xf>
    <xf numFmtId="0" fontId="25" fillId="6" borderId="5" xfId="0" applyFont="1" applyFill="1" applyBorder="1" applyAlignment="1">
      <alignment horizontal="left" vertical="top" wrapText="1"/>
    </xf>
    <xf numFmtId="164" fontId="19" fillId="6" borderId="16" xfId="0" applyNumberFormat="1" applyFont="1" applyFill="1" applyBorder="1" applyAlignment="1">
      <alignment horizontal="right" vertical="top" wrapText="1"/>
    </xf>
    <xf numFmtId="164" fontId="19" fillId="6" borderId="5" xfId="0" applyNumberFormat="1" applyFont="1" applyFill="1" applyBorder="1" applyAlignment="1">
      <alignment horizontal="left" vertical="top" wrapText="1"/>
    </xf>
    <xf numFmtId="0" fontId="19" fillId="6" borderId="25" xfId="0" applyFont="1" applyFill="1" applyBorder="1" applyAlignment="1">
      <alignment horizontal="left" vertical="top" wrapText="1"/>
    </xf>
    <xf numFmtId="0" fontId="18" fillId="8" borderId="20" xfId="0" applyFont="1" applyFill="1" applyBorder="1" applyAlignment="1">
      <alignment vertical="top" wrapText="1"/>
    </xf>
    <xf numFmtId="0" fontId="19" fillId="0" borderId="5" xfId="0" applyFont="1" applyBorder="1" applyAlignment="1">
      <alignment vertical="top" wrapText="1"/>
    </xf>
    <xf numFmtId="9" fontId="19" fillId="0" borderId="21" xfId="1" applyFont="1" applyBorder="1" applyAlignment="1">
      <alignment vertical="top" wrapText="1"/>
    </xf>
    <xf numFmtId="0" fontId="19" fillId="8" borderId="22" xfId="0" applyFont="1" applyFill="1" applyBorder="1" applyAlignment="1">
      <alignment horizontal="left" vertical="top" wrapText="1"/>
    </xf>
    <xf numFmtId="0" fontId="23" fillId="8" borderId="11" xfId="0" applyFont="1" applyFill="1" applyBorder="1" applyAlignment="1">
      <alignment vertical="top"/>
    </xf>
    <xf numFmtId="44" fontId="15" fillId="0" borderId="14" xfId="1" applyNumberFormat="1" applyFont="1" applyBorder="1" applyAlignment="1">
      <alignment vertical="top"/>
    </xf>
    <xf numFmtId="44" fontId="15" fillId="0" borderId="35" xfId="0" applyNumberFormat="1" applyFont="1" applyBorder="1" applyAlignment="1">
      <alignment horizontal="left" vertical="top"/>
    </xf>
    <xf numFmtId="0" fontId="23" fillId="5" borderId="5" xfId="0" applyFont="1" applyFill="1" applyBorder="1" applyAlignment="1">
      <alignment horizontal="left" vertical="top" wrapText="1"/>
    </xf>
    <xf numFmtId="44" fontId="15" fillId="0" borderId="36" xfId="0" applyNumberFormat="1" applyFont="1" applyBorder="1" applyAlignment="1">
      <alignment horizontal="left" vertical="top"/>
    </xf>
    <xf numFmtId="0" fontId="18" fillId="0" borderId="0" xfId="0" applyFont="1" applyAlignment="1">
      <alignment horizontal="center"/>
    </xf>
    <xf numFmtId="0" fontId="19" fillId="0" borderId="5" xfId="0" applyFont="1" applyBorder="1" applyAlignment="1">
      <alignment horizontal="left" vertical="top" wrapText="1"/>
    </xf>
    <xf numFmtId="0" fontId="19" fillId="0" borderId="13" xfId="0" applyFont="1" applyBorder="1" applyAlignment="1">
      <alignment horizontal="left" vertical="top" wrapText="1"/>
    </xf>
    <xf numFmtId="0" fontId="18" fillId="7" borderId="5" xfId="0" applyFont="1" applyFill="1" applyBorder="1" applyAlignment="1">
      <alignment horizontal="left" vertical="top" wrapText="1"/>
    </xf>
    <xf numFmtId="0" fontId="19" fillId="0" borderId="5" xfId="0" applyFont="1" applyBorder="1" applyAlignment="1">
      <alignment horizontal="center" vertical="top" wrapText="1"/>
    </xf>
    <xf numFmtId="0" fontId="19" fillId="0" borderId="22" xfId="0" applyFont="1" applyBorder="1" applyAlignment="1">
      <alignment horizontal="center" vertical="top" wrapText="1"/>
    </xf>
    <xf numFmtId="0" fontId="21" fillId="0" borderId="22" xfId="0" applyFont="1" applyBorder="1" applyAlignment="1">
      <alignment horizontal="center" vertical="top" wrapText="1"/>
    </xf>
    <xf numFmtId="0" fontId="18" fillId="12" borderId="5" xfId="0" applyFont="1" applyFill="1" applyBorder="1" applyAlignment="1">
      <alignment horizontal="center" vertical="top" wrapText="1"/>
    </xf>
    <xf numFmtId="0" fontId="18" fillId="12" borderId="16" xfId="0" applyFont="1" applyFill="1" applyBorder="1" applyAlignment="1">
      <alignment horizontal="center" vertical="top" wrapText="1"/>
    </xf>
    <xf numFmtId="44" fontId="15" fillId="0" borderId="16" xfId="0" applyNumberFormat="1" applyFont="1" applyBorder="1" applyAlignment="1">
      <alignment horizontal="left" vertical="top"/>
    </xf>
    <xf numFmtId="0" fontId="13" fillId="6" borderId="15" xfId="0" applyFont="1" applyFill="1" applyBorder="1" applyAlignment="1">
      <alignment horizontal="center" vertical="top" wrapText="1"/>
    </xf>
    <xf numFmtId="164" fontId="14" fillId="6" borderId="5" xfId="0" applyNumberFormat="1" applyFont="1" applyFill="1" applyBorder="1" applyAlignment="1">
      <alignment horizontal="right" vertical="top" wrapText="1"/>
    </xf>
    <xf numFmtId="0" fontId="14" fillId="6" borderId="14" xfId="0" applyFont="1" applyFill="1" applyBorder="1" applyAlignment="1">
      <alignment horizontal="left" vertical="top" wrapText="1"/>
    </xf>
    <xf numFmtId="0" fontId="14" fillId="6" borderId="16" xfId="0" applyFont="1" applyFill="1" applyBorder="1" applyAlignment="1">
      <alignment horizontal="left" vertical="top" wrapText="1"/>
    </xf>
    <xf numFmtId="0" fontId="14" fillId="6" borderId="5" xfId="0" applyFont="1" applyFill="1" applyBorder="1" applyAlignment="1">
      <alignment horizontal="left" vertical="top" wrapText="1"/>
    </xf>
    <xf numFmtId="0" fontId="14" fillId="6" borderId="11" xfId="0" applyFont="1" applyFill="1" applyBorder="1" applyAlignment="1">
      <alignment horizontal="left" vertical="top" wrapText="1"/>
    </xf>
    <xf numFmtId="0" fontId="12" fillId="3" borderId="5" xfId="0" applyFont="1" applyFill="1" applyBorder="1" applyAlignment="1">
      <alignment horizontal="left" vertical="top" wrapText="1"/>
    </xf>
    <xf numFmtId="0" fontId="14" fillId="6" borderId="40" xfId="0" applyFont="1" applyFill="1" applyBorder="1" applyAlignment="1">
      <alignment horizontal="left" vertical="top" wrapText="1"/>
    </xf>
    <xf numFmtId="0" fontId="14" fillId="6" borderId="42" xfId="0" applyFont="1" applyFill="1" applyBorder="1" applyAlignment="1">
      <alignment horizontal="left" vertical="top" wrapText="1"/>
    </xf>
    <xf numFmtId="0" fontId="14" fillId="6" borderId="15" xfId="0" applyFont="1" applyFill="1" applyBorder="1" applyAlignment="1">
      <alignment horizontal="center" vertical="top" wrapText="1"/>
    </xf>
    <xf numFmtId="0" fontId="14" fillId="6" borderId="16" xfId="0" applyFont="1" applyFill="1" applyBorder="1" applyAlignment="1">
      <alignment horizontal="center" vertical="top" wrapText="1"/>
    </xf>
    <xf numFmtId="0" fontId="13" fillId="6" borderId="5" xfId="0" applyFont="1" applyFill="1" applyBorder="1" applyAlignment="1">
      <alignment horizontal="left" vertical="top" wrapText="1"/>
    </xf>
    <xf numFmtId="0" fontId="16" fillId="10" borderId="38" xfId="0" applyFont="1" applyFill="1" applyBorder="1" applyAlignment="1">
      <alignment horizontal="left" vertical="top"/>
    </xf>
    <xf numFmtId="0" fontId="13" fillId="6" borderId="46" xfId="0" applyFont="1" applyFill="1" applyBorder="1" applyAlignment="1">
      <alignment horizontal="left" vertical="top" wrapText="1"/>
    </xf>
    <xf numFmtId="0" fontId="14" fillId="6" borderId="48" xfId="0" applyFont="1" applyFill="1" applyBorder="1" applyAlignment="1">
      <alignment horizontal="left" vertical="top" wrapText="1"/>
    </xf>
    <xf numFmtId="164" fontId="14" fillId="6" borderId="14" xfId="0" applyNumberFormat="1" applyFont="1" applyFill="1" applyBorder="1" applyAlignment="1">
      <alignment horizontal="left" vertical="top" wrapText="1"/>
    </xf>
    <xf numFmtId="164" fontId="14" fillId="6" borderId="16" xfId="0" applyNumberFormat="1" applyFont="1" applyFill="1" applyBorder="1" applyAlignment="1">
      <alignment horizontal="left" vertical="top" wrapText="1"/>
    </xf>
    <xf numFmtId="0" fontId="13" fillId="8" borderId="5" xfId="0" applyFont="1" applyFill="1" applyBorder="1" applyAlignment="1">
      <alignment horizontal="left" vertical="top" wrapText="1"/>
    </xf>
    <xf numFmtId="0" fontId="14" fillId="6" borderId="5" xfId="0" applyFont="1" applyFill="1" applyBorder="1" applyAlignment="1">
      <alignment vertical="top" wrapText="1"/>
    </xf>
    <xf numFmtId="0" fontId="14" fillId="6" borderId="5" xfId="0" applyFont="1" applyFill="1" applyBorder="1" applyAlignment="1">
      <alignment horizontal="center" vertical="top" wrapText="1"/>
    </xf>
    <xf numFmtId="0" fontId="14" fillId="6" borderId="14" xfId="0" applyFont="1" applyFill="1" applyBorder="1" applyAlignment="1">
      <alignment vertical="top" wrapText="1"/>
    </xf>
    <xf numFmtId="0" fontId="14" fillId="6" borderId="16" xfId="0" applyFont="1" applyFill="1" applyBorder="1" applyAlignment="1">
      <alignment vertical="top" wrapText="1"/>
    </xf>
    <xf numFmtId="0" fontId="14" fillId="6" borderId="14" xfId="0" applyFont="1" applyFill="1" applyBorder="1" applyAlignment="1">
      <alignment horizontal="center" vertical="top" wrapText="1"/>
    </xf>
    <xf numFmtId="15" fontId="14" fillId="6" borderId="15" xfId="0" applyNumberFormat="1" applyFont="1" applyFill="1" applyBorder="1" applyAlignment="1">
      <alignment horizontal="center" vertical="top" wrapText="1"/>
    </xf>
    <xf numFmtId="0" fontId="14" fillId="5" borderId="5" xfId="0" applyFont="1" applyFill="1" applyBorder="1" applyAlignment="1">
      <alignment horizontal="left" vertical="top" wrapText="1"/>
    </xf>
    <xf numFmtId="164" fontId="14" fillId="6" borderId="14" xfId="0" applyNumberFormat="1" applyFont="1" applyFill="1" applyBorder="1" applyAlignment="1">
      <alignment horizontal="right" vertical="top" wrapText="1"/>
    </xf>
    <xf numFmtId="164" fontId="14" fillId="6" borderId="16" xfId="0" applyNumberFormat="1" applyFont="1" applyFill="1" applyBorder="1" applyAlignment="1">
      <alignment horizontal="right" vertical="top" wrapText="1"/>
    </xf>
    <xf numFmtId="0" fontId="14" fillId="6" borderId="48" xfId="0" applyFont="1" applyFill="1" applyBorder="1" applyAlignment="1">
      <alignment vertical="top" wrapText="1"/>
    </xf>
    <xf numFmtId="0" fontId="14" fillId="6" borderId="46" xfId="0" applyFont="1" applyFill="1" applyBorder="1" applyAlignment="1">
      <alignment horizontal="left" vertical="top" wrapText="1"/>
    </xf>
    <xf numFmtId="0" fontId="16" fillId="10" borderId="9" xfId="0" applyFont="1" applyFill="1" applyBorder="1" applyAlignment="1">
      <alignment horizontal="left" vertical="top"/>
    </xf>
    <xf numFmtId="15" fontId="14" fillId="6" borderId="5" xfId="0" applyNumberFormat="1" applyFont="1" applyFill="1" applyBorder="1" applyAlignment="1">
      <alignment horizontal="left" vertical="top" wrapText="1"/>
    </xf>
    <xf numFmtId="0" fontId="18" fillId="4" borderId="14" xfId="0" applyFont="1" applyFill="1" applyBorder="1" applyAlignment="1">
      <alignment horizontal="left" vertical="top" wrapText="1"/>
    </xf>
    <xf numFmtId="0" fontId="18" fillId="4" borderId="15" xfId="0" applyFont="1" applyFill="1" applyBorder="1" applyAlignment="1">
      <alignment horizontal="left" vertical="top" wrapText="1"/>
    </xf>
    <xf numFmtId="0" fontId="18" fillId="4" borderId="5" xfId="0" applyFont="1" applyFill="1" applyBorder="1" applyAlignment="1">
      <alignment horizontal="left" vertical="top" wrapText="1"/>
    </xf>
    <xf numFmtId="0" fontId="18" fillId="9" borderId="5" xfId="0" applyFont="1" applyFill="1" applyBorder="1" applyAlignment="1">
      <alignment horizontal="left" vertical="top" wrapText="1"/>
    </xf>
    <xf numFmtId="0" fontId="33" fillId="0" borderId="0" xfId="0" applyFont="1"/>
    <xf numFmtId="0" fontId="0" fillId="0" borderId="0" xfId="0" applyAlignment="1">
      <alignment horizontal="center"/>
    </xf>
    <xf numFmtId="0" fontId="32" fillId="0" borderId="0" xfId="0" applyFont="1"/>
    <xf numFmtId="0" fontId="34" fillId="0" borderId="11" xfId="0" applyFont="1" applyBorder="1" applyAlignment="1">
      <alignment wrapText="1"/>
    </xf>
    <xf numFmtId="0" fontId="34" fillId="13" borderId="12" xfId="0" applyFont="1" applyFill="1" applyBorder="1"/>
    <xf numFmtId="0" fontId="34" fillId="11" borderId="83" xfId="0" applyFont="1" applyFill="1" applyBorder="1"/>
    <xf numFmtId="0" fontId="34" fillId="5" borderId="21" xfId="0" applyFont="1" applyFill="1" applyBorder="1"/>
    <xf numFmtId="0" fontId="34" fillId="0" borderId="11" xfId="0" applyFont="1" applyBorder="1" applyAlignment="1">
      <alignment horizontal="center"/>
    </xf>
    <xf numFmtId="0" fontId="34" fillId="13" borderId="12" xfId="0" applyFont="1" applyFill="1" applyBorder="1" applyAlignment="1">
      <alignment horizontal="center"/>
    </xf>
    <xf numFmtId="0" fontId="34" fillId="11" borderId="83" xfId="0" applyFont="1" applyFill="1" applyBorder="1" applyAlignment="1">
      <alignment horizontal="center"/>
    </xf>
    <xf numFmtId="0" fontId="34" fillId="5" borderId="21" xfId="0" applyFont="1" applyFill="1" applyBorder="1" applyAlignment="1">
      <alignment horizontal="center"/>
    </xf>
    <xf numFmtId="0" fontId="0" fillId="0" borderId="14" xfId="0" applyBorder="1" applyAlignment="1">
      <alignment vertical="top"/>
    </xf>
    <xf numFmtId="0" fontId="34" fillId="0" borderId="14" xfId="0" applyFont="1" applyBorder="1" applyAlignment="1">
      <alignment vertical="top" wrapText="1"/>
    </xf>
    <xf numFmtId="0" fontId="10" fillId="0" borderId="84" xfId="0" applyFont="1" applyBorder="1" applyAlignment="1">
      <alignment horizontal="center" vertical="top"/>
    </xf>
    <xf numFmtId="0" fontId="10" fillId="13" borderId="0" xfId="0" applyFont="1" applyFill="1" applyAlignment="1">
      <alignment horizontal="center" vertical="top"/>
    </xf>
    <xf numFmtId="0" fontId="10" fillId="11" borderId="85" xfId="0" applyFont="1" applyFill="1" applyBorder="1" applyAlignment="1">
      <alignment horizontal="center" vertical="top"/>
    </xf>
    <xf numFmtId="0" fontId="10" fillId="5" borderId="74" xfId="0" applyFont="1" applyFill="1" applyBorder="1" applyAlignment="1">
      <alignment horizontal="center" vertical="top"/>
    </xf>
    <xf numFmtId="0" fontId="10" fillId="7" borderId="86" xfId="0" applyFont="1" applyFill="1" applyBorder="1" applyAlignment="1">
      <alignment horizontal="center" vertical="top"/>
    </xf>
    <xf numFmtId="9" fontId="36" fillId="0" borderId="35" xfId="1" applyFont="1" applyFill="1" applyBorder="1" applyAlignment="1">
      <alignment horizontal="center" vertical="top"/>
    </xf>
    <xf numFmtId="0" fontId="0" fillId="0" borderId="0" xfId="0" applyAlignment="1">
      <alignment vertical="top"/>
    </xf>
    <xf numFmtId="0" fontId="0" fillId="0" borderId="35" xfId="0" applyBorder="1" applyAlignment="1">
      <alignment vertical="top"/>
    </xf>
    <xf numFmtId="0" fontId="34" fillId="0" borderId="35" xfId="0" applyFont="1" applyBorder="1" applyAlignment="1">
      <alignment vertical="top" wrapText="1"/>
    </xf>
    <xf numFmtId="0" fontId="10" fillId="0" borderId="50" xfId="0" applyFont="1" applyBorder="1" applyAlignment="1">
      <alignment horizontal="center" vertical="top"/>
    </xf>
    <xf numFmtId="0" fontId="10" fillId="13" borderId="81" xfId="0" applyFont="1" applyFill="1" applyBorder="1" applyAlignment="1">
      <alignment horizontal="center" vertical="top"/>
    </xf>
    <xf numFmtId="0" fontId="10" fillId="11" borderId="87" xfId="0" applyFont="1" applyFill="1" applyBorder="1" applyAlignment="1">
      <alignment horizontal="center" vertical="top"/>
    </xf>
    <xf numFmtId="0" fontId="10" fillId="5" borderId="78" xfId="0" applyFont="1" applyFill="1" applyBorder="1" applyAlignment="1">
      <alignment horizontal="center" vertical="top"/>
    </xf>
    <xf numFmtId="0" fontId="10" fillId="7" borderId="49" xfId="0" applyFont="1" applyFill="1" applyBorder="1" applyAlignment="1">
      <alignment horizontal="center" vertical="top"/>
    </xf>
    <xf numFmtId="0" fontId="0" fillId="0" borderId="16" xfId="0" applyBorder="1" applyAlignment="1">
      <alignment vertical="top"/>
    </xf>
    <xf numFmtId="0" fontId="34" fillId="0" borderId="16" xfId="0" applyFont="1" applyBorder="1" applyAlignment="1">
      <alignment vertical="top" wrapText="1"/>
    </xf>
    <xf numFmtId="0" fontId="32" fillId="0" borderId="0" xfId="0" applyFont="1" applyAlignment="1">
      <alignment vertical="top"/>
    </xf>
    <xf numFmtId="0" fontId="9" fillId="0" borderId="0" xfId="0" applyFont="1" applyAlignment="1">
      <alignment vertical="top"/>
    </xf>
    <xf numFmtId="0" fontId="9" fillId="0" borderId="88" xfId="0" applyFont="1" applyBorder="1" applyAlignment="1">
      <alignment horizontal="center" vertical="top"/>
    </xf>
    <xf numFmtId="0" fontId="9" fillId="13" borderId="89" xfId="0" applyFont="1" applyFill="1" applyBorder="1" applyAlignment="1">
      <alignment horizontal="center" vertical="top"/>
    </xf>
    <xf numFmtId="0" fontId="9" fillId="11" borderId="90" xfId="0" applyFont="1" applyFill="1" applyBorder="1" applyAlignment="1">
      <alignment horizontal="center" vertical="top"/>
    </xf>
    <xf numFmtId="0" fontId="9" fillId="5" borderId="91" xfId="0" applyFont="1" applyFill="1" applyBorder="1" applyAlignment="1">
      <alignment horizontal="center" vertical="top"/>
    </xf>
    <xf numFmtId="0" fontId="10" fillId="0" borderId="0" xfId="0" applyFont="1" applyAlignment="1">
      <alignment vertical="top"/>
    </xf>
    <xf numFmtId="0" fontId="38" fillId="0" borderId="8" xfId="0" applyFont="1" applyBorder="1" applyAlignment="1">
      <alignment horizontal="center" vertical="top"/>
    </xf>
    <xf numFmtId="0" fontId="38" fillId="13" borderId="9" xfId="0" applyFont="1" applyFill="1" applyBorder="1" applyAlignment="1">
      <alignment horizontal="center" vertical="top"/>
    </xf>
    <xf numFmtId="0" fontId="39" fillId="11" borderId="92" xfId="0" applyFont="1" applyFill="1" applyBorder="1" applyAlignment="1">
      <alignment horizontal="center" vertical="top"/>
    </xf>
    <xf numFmtId="0" fontId="39" fillId="5" borderId="65" xfId="0" applyFont="1" applyFill="1" applyBorder="1" applyAlignment="1">
      <alignment horizontal="center" vertical="top"/>
    </xf>
    <xf numFmtId="9" fontId="38" fillId="0" borderId="11" xfId="1" applyFont="1" applyFill="1" applyBorder="1" applyAlignment="1">
      <alignment horizontal="center" vertical="top"/>
    </xf>
    <xf numFmtId="10" fontId="38" fillId="13" borderId="53" xfId="1" applyNumberFormat="1" applyFont="1" applyFill="1" applyBorder="1" applyAlignment="1">
      <alignment horizontal="center" vertical="top"/>
    </xf>
    <xf numFmtId="10" fontId="38" fillId="11" borderId="93" xfId="1" applyNumberFormat="1" applyFont="1" applyFill="1" applyBorder="1" applyAlignment="1">
      <alignment horizontal="center" vertical="top"/>
    </xf>
    <xf numFmtId="10" fontId="38" fillId="5" borderId="54" xfId="1" applyNumberFormat="1" applyFont="1" applyFill="1" applyBorder="1" applyAlignment="1">
      <alignment horizontal="center" vertical="top"/>
    </xf>
    <xf numFmtId="9" fontId="0" fillId="0" borderId="0" xfId="0" applyNumberFormat="1" applyAlignment="1">
      <alignment vertical="top"/>
    </xf>
    <xf numFmtId="9" fontId="0" fillId="0" borderId="0" xfId="1" applyFont="1" applyAlignment="1">
      <alignment horizontal="center"/>
    </xf>
    <xf numFmtId="0" fontId="34" fillId="0" borderId="94" xfId="0" applyFont="1" applyBorder="1" applyAlignment="1">
      <alignment vertical="top"/>
    </xf>
    <xf numFmtId="0" fontId="34" fillId="13" borderId="95" xfId="0" applyFont="1" applyFill="1" applyBorder="1" applyAlignment="1">
      <alignment horizontal="center" vertical="top" wrapText="1"/>
    </xf>
    <xf numFmtId="0" fontId="34" fillId="11" borderId="95" xfId="0" applyFont="1" applyFill="1" applyBorder="1" applyAlignment="1">
      <alignment horizontal="center" vertical="top" wrapText="1"/>
    </xf>
    <xf numFmtId="0" fontId="34" fillId="5" borderId="96" xfId="0" applyFont="1" applyFill="1" applyBorder="1" applyAlignment="1">
      <alignment horizontal="center" vertical="top" wrapText="1"/>
    </xf>
    <xf numFmtId="0" fontId="32" fillId="0" borderId="22" xfId="0" applyFont="1" applyBorder="1"/>
    <xf numFmtId="0" fontId="0" fillId="0" borderId="66" xfId="0" applyBorder="1" applyAlignment="1">
      <alignment vertical="top" wrapText="1"/>
    </xf>
    <xf numFmtId="9" fontId="40" fillId="13" borderId="16" xfId="1" applyFont="1" applyFill="1" applyBorder="1" applyAlignment="1">
      <alignment horizontal="center" vertical="top"/>
    </xf>
    <xf numFmtId="9" fontId="40" fillId="11" borderId="16" xfId="1" applyFont="1" applyFill="1" applyBorder="1" applyAlignment="1">
      <alignment horizontal="center" vertical="top"/>
    </xf>
    <xf numFmtId="9" fontId="40" fillId="5" borderId="42" xfId="1" applyFont="1" applyFill="1" applyBorder="1" applyAlignment="1">
      <alignment horizontal="center" vertical="top"/>
    </xf>
    <xf numFmtId="0" fontId="0" fillId="0" borderId="22" xfId="0" applyBorder="1" applyAlignment="1">
      <alignment vertical="top" wrapText="1"/>
    </xf>
    <xf numFmtId="0" fontId="32" fillId="0" borderId="51" xfId="0" applyFont="1" applyBorder="1"/>
    <xf numFmtId="9" fontId="32" fillId="0" borderId="0" xfId="0" applyNumberFormat="1" applyFont="1" applyAlignment="1">
      <alignment horizontal="center"/>
    </xf>
    <xf numFmtId="10" fontId="32" fillId="0" borderId="0" xfId="0" applyNumberFormat="1" applyFont="1" applyAlignment="1">
      <alignment horizontal="center"/>
    </xf>
    <xf numFmtId="0" fontId="32" fillId="0" borderId="17" xfId="0" applyFont="1" applyBorder="1" applyAlignment="1">
      <alignment horizontal="left"/>
    </xf>
    <xf numFmtId="0" fontId="32" fillId="0" borderId="57" xfId="0" applyFont="1" applyBorder="1"/>
    <xf numFmtId="0" fontId="32" fillId="0" borderId="39" xfId="0" applyFont="1" applyBorder="1"/>
    <xf numFmtId="0" fontId="32" fillId="4" borderId="22" xfId="0" applyFont="1" applyFill="1" applyBorder="1" applyAlignment="1">
      <alignment wrapText="1"/>
    </xf>
    <xf numFmtId="0" fontId="32" fillId="4" borderId="5" xfId="0" applyFont="1" applyFill="1" applyBorder="1" applyAlignment="1">
      <alignment horizontal="center"/>
    </xf>
    <xf numFmtId="9" fontId="32" fillId="4" borderId="25" xfId="1" applyFont="1" applyFill="1" applyBorder="1" applyAlignment="1">
      <alignment horizontal="center"/>
    </xf>
    <xf numFmtId="0" fontId="32" fillId="13" borderId="51" xfId="0" applyFont="1" applyFill="1" applyBorder="1" applyAlignment="1">
      <alignment wrapText="1"/>
    </xf>
    <xf numFmtId="0" fontId="32" fillId="13" borderId="46" xfId="0" applyFont="1" applyFill="1" applyBorder="1" applyAlignment="1">
      <alignment horizontal="center"/>
    </xf>
    <xf numFmtId="9" fontId="32" fillId="13" borderId="29" xfId="1" applyFont="1" applyFill="1" applyBorder="1" applyAlignment="1">
      <alignment horizontal="center"/>
    </xf>
    <xf numFmtId="9" fontId="32" fillId="0" borderId="0" xfId="1" applyFont="1"/>
    <xf numFmtId="0" fontId="42" fillId="0" borderId="0" xfId="0" applyFont="1" applyAlignment="1">
      <alignment horizontal="center"/>
    </xf>
    <xf numFmtId="9" fontId="42" fillId="0" borderId="0" xfId="1" applyFont="1" applyAlignment="1">
      <alignment horizontal="center"/>
    </xf>
    <xf numFmtId="0" fontId="42" fillId="0" borderId="0" xfId="0" applyFont="1"/>
    <xf numFmtId="0" fontId="32" fillId="14" borderId="51" xfId="0" applyFont="1" applyFill="1" applyBorder="1" applyAlignment="1">
      <alignment wrapText="1"/>
    </xf>
    <xf numFmtId="0" fontId="32" fillId="14" borderId="46" xfId="0" applyFont="1" applyFill="1" applyBorder="1" applyAlignment="1">
      <alignment horizontal="center"/>
    </xf>
    <xf numFmtId="9" fontId="32" fillId="14" borderId="29" xfId="1" applyFont="1" applyFill="1" applyBorder="1" applyAlignment="1">
      <alignment horizontal="center"/>
    </xf>
    <xf numFmtId="0" fontId="32" fillId="15" borderId="22" xfId="0" applyFont="1" applyFill="1" applyBorder="1" applyAlignment="1">
      <alignment wrapText="1"/>
    </xf>
    <xf numFmtId="0" fontId="32" fillId="15" borderId="5" xfId="0" applyFont="1" applyFill="1" applyBorder="1" applyAlignment="1">
      <alignment horizontal="center"/>
    </xf>
    <xf numFmtId="9" fontId="32" fillId="15" borderId="25" xfId="1" applyFont="1" applyFill="1" applyBorder="1" applyAlignment="1">
      <alignment horizontal="center"/>
    </xf>
    <xf numFmtId="0" fontId="30" fillId="10" borderId="17" xfId="0" applyFont="1" applyFill="1" applyBorder="1" applyAlignment="1">
      <alignment horizontal="left"/>
    </xf>
    <xf numFmtId="0" fontId="30" fillId="10" borderId="57" xfId="0" applyFont="1" applyFill="1" applyBorder="1"/>
    <xf numFmtId="0" fontId="30" fillId="10" borderId="39" xfId="0" applyFont="1" applyFill="1" applyBorder="1"/>
    <xf numFmtId="0" fontId="32" fillId="8" borderId="22" xfId="0" applyFont="1" applyFill="1" applyBorder="1"/>
    <xf numFmtId="0" fontId="32" fillId="11" borderId="22" xfId="0" applyFont="1" applyFill="1" applyBorder="1"/>
    <xf numFmtId="0" fontId="32" fillId="5" borderId="51" xfId="0" applyFont="1" applyFill="1" applyBorder="1"/>
    <xf numFmtId="0" fontId="3" fillId="0" borderId="5" xfId="0" applyFont="1" applyBorder="1" applyAlignment="1">
      <alignment wrapText="1"/>
    </xf>
    <xf numFmtId="0" fontId="3" fillId="0" borderId="5" xfId="0" applyFont="1" applyBorder="1" applyAlignment="1">
      <alignment vertical="top" wrapText="1"/>
    </xf>
    <xf numFmtId="0" fontId="3" fillId="0" borderId="25" xfId="0" applyFont="1" applyBorder="1" applyAlignment="1">
      <alignment vertical="top" wrapText="1"/>
    </xf>
    <xf numFmtId="0" fontId="34" fillId="0" borderId="0" xfId="0" applyFont="1"/>
    <xf numFmtId="0" fontId="2" fillId="4" borderId="5" xfId="0" applyFont="1" applyFill="1" applyBorder="1" applyAlignment="1">
      <alignment horizontal="center" vertical="top" wrapText="1"/>
    </xf>
    <xf numFmtId="0" fontId="2" fillId="7" borderId="5" xfId="0" applyFont="1" applyFill="1" applyBorder="1" applyAlignment="1">
      <alignment horizontal="center" vertical="top" wrapText="1"/>
    </xf>
    <xf numFmtId="0" fontId="2" fillId="7" borderId="5" xfId="0" applyFont="1" applyFill="1" applyBorder="1" applyAlignment="1">
      <alignment horizontal="center" vertical="top"/>
    </xf>
    <xf numFmtId="0" fontId="2" fillId="7" borderId="25" xfId="0" applyFont="1" applyFill="1" applyBorder="1" applyAlignment="1">
      <alignment horizontal="center" vertical="top"/>
    </xf>
    <xf numFmtId="0" fontId="2" fillId="8" borderId="5" xfId="0" applyFont="1" applyFill="1" applyBorder="1" applyAlignment="1">
      <alignment horizontal="center" vertical="top" wrapText="1"/>
    </xf>
    <xf numFmtId="0" fontId="2" fillId="8" borderId="5" xfId="0" applyFont="1" applyFill="1" applyBorder="1" applyAlignment="1">
      <alignment horizontal="center" vertical="top"/>
    </xf>
    <xf numFmtId="0" fontId="2" fillId="8" borderId="25" xfId="0" applyFont="1" applyFill="1" applyBorder="1" applyAlignment="1">
      <alignment horizontal="center" vertical="top"/>
    </xf>
    <xf numFmtId="0" fontId="2" fillId="17" borderId="5" xfId="0" applyFont="1" applyFill="1" applyBorder="1" applyAlignment="1">
      <alignment horizontal="center" vertical="top" wrapText="1"/>
    </xf>
    <xf numFmtId="0" fontId="2" fillId="17" borderId="5" xfId="0" applyFont="1" applyFill="1" applyBorder="1" applyAlignment="1">
      <alignment horizontal="center" vertical="top"/>
    </xf>
    <xf numFmtId="0" fontId="2" fillId="17" borderId="25" xfId="0" applyFont="1" applyFill="1" applyBorder="1" applyAlignment="1">
      <alignment horizontal="center" vertical="top"/>
    </xf>
    <xf numFmtId="0" fontId="45" fillId="0" borderId="73" xfId="0" applyFont="1" applyBorder="1"/>
    <xf numFmtId="0" fontId="46" fillId="0" borderId="0" xfId="0" applyFont="1"/>
    <xf numFmtId="0" fontId="2" fillId="0" borderId="0" xfId="0" applyFont="1" applyAlignment="1">
      <alignment horizontal="center" vertical="top" wrapText="1"/>
    </xf>
    <xf numFmtId="0" fontId="2" fillId="0" borderId="74" xfId="0" applyFont="1" applyBorder="1" applyAlignment="1">
      <alignment horizontal="center" vertical="top"/>
    </xf>
    <xf numFmtId="0" fontId="3" fillId="0" borderId="5" xfId="0" applyFont="1" applyBorder="1" applyAlignment="1">
      <alignment horizontal="center" vertical="top" wrapText="1"/>
    </xf>
    <xf numFmtId="0" fontId="3" fillId="0" borderId="25" xfId="0" applyFont="1" applyBorder="1" applyAlignment="1">
      <alignment horizontal="center" vertical="top"/>
    </xf>
    <xf numFmtId="0" fontId="46" fillId="0" borderId="22" xfId="0" applyFont="1" applyBorder="1"/>
    <xf numFmtId="0" fontId="46" fillId="0" borderId="5" xfId="0" applyFont="1" applyBorder="1"/>
    <xf numFmtId="0" fontId="2" fillId="0" borderId="5" xfId="0" applyFont="1" applyBorder="1" applyAlignment="1">
      <alignment horizontal="center" vertical="top" wrapText="1"/>
    </xf>
    <xf numFmtId="0" fontId="2" fillId="0" borderId="25" xfId="0" applyFont="1" applyBorder="1" applyAlignment="1">
      <alignment horizontal="center" vertical="top"/>
    </xf>
    <xf numFmtId="0" fontId="46" fillId="0" borderId="51" xfId="0" applyFont="1" applyBorder="1"/>
    <xf numFmtId="0" fontId="46" fillId="0" borderId="46" xfId="0" applyFont="1" applyBorder="1"/>
    <xf numFmtId="0" fontId="2" fillId="0" borderId="46" xfId="0" applyFont="1" applyBorder="1" applyAlignment="1">
      <alignment horizontal="center"/>
    </xf>
    <xf numFmtId="0" fontId="45" fillId="0" borderId="46" xfId="0" applyFont="1" applyBorder="1" applyAlignment="1">
      <alignment horizontal="center"/>
    </xf>
    <xf numFmtId="0" fontId="45" fillId="0" borderId="29" xfId="0" applyFont="1" applyBorder="1" applyAlignment="1">
      <alignment horizontal="center"/>
    </xf>
    <xf numFmtId="0" fontId="32" fillId="0" borderId="0" xfId="0" applyFont="1" applyAlignment="1">
      <alignment horizontal="center"/>
    </xf>
    <xf numFmtId="0" fontId="3" fillId="15" borderId="18" xfId="0" applyFont="1" applyFill="1" applyBorder="1" applyAlignment="1">
      <alignment horizontal="left" wrapText="1"/>
    </xf>
    <xf numFmtId="0" fontId="3" fillId="15" borderId="19" xfId="0" applyFont="1" applyFill="1" applyBorder="1" applyAlignment="1">
      <alignment horizontal="left" wrapText="1"/>
    </xf>
    <xf numFmtId="9" fontId="2" fillId="4" borderId="5" xfId="1" applyFont="1" applyFill="1" applyBorder="1" applyAlignment="1">
      <alignment horizontal="center" vertical="top" wrapText="1"/>
    </xf>
    <xf numFmtId="9" fontId="2" fillId="7" borderId="5" xfId="1" applyFont="1" applyFill="1" applyBorder="1" applyAlignment="1">
      <alignment horizontal="center" vertical="top" wrapText="1"/>
    </xf>
    <xf numFmtId="9" fontId="2" fillId="8" borderId="5" xfId="1" applyFont="1" applyFill="1" applyBorder="1" applyAlignment="1">
      <alignment horizontal="center" vertical="top" wrapText="1"/>
    </xf>
    <xf numFmtId="9" fontId="2" fillId="17" borderId="46" xfId="1" applyFont="1" applyFill="1" applyBorder="1" applyAlignment="1">
      <alignment horizontal="center" vertical="top" wrapText="1"/>
    </xf>
    <xf numFmtId="0" fontId="3" fillId="0" borderId="73" xfId="0" applyFont="1" applyBorder="1" applyAlignment="1">
      <alignment vertical="top" wrapText="1"/>
    </xf>
    <xf numFmtId="0" fontId="3" fillId="0" borderId="0" xfId="0" applyFont="1" applyAlignment="1">
      <alignment vertical="top" wrapText="1"/>
    </xf>
    <xf numFmtId="0" fontId="2" fillId="0" borderId="86" xfId="0" applyFont="1" applyBorder="1" applyAlignment="1">
      <alignment horizontal="center" vertical="top"/>
    </xf>
    <xf numFmtId="9" fontId="2" fillId="0" borderId="0" xfId="1" applyFont="1" applyFill="1" applyBorder="1" applyAlignment="1">
      <alignment horizontal="center" vertical="top" wrapText="1"/>
    </xf>
    <xf numFmtId="1" fontId="2" fillId="18" borderId="57" xfId="1" applyNumberFormat="1" applyFont="1" applyFill="1" applyBorder="1" applyAlignment="1">
      <alignment horizontal="center" vertical="top" wrapText="1"/>
    </xf>
    <xf numFmtId="9" fontId="2" fillId="18" borderId="19" xfId="1" applyFont="1" applyFill="1" applyBorder="1" applyAlignment="1">
      <alignment horizontal="center" vertical="top" wrapText="1"/>
    </xf>
    <xf numFmtId="1" fontId="3" fillId="18" borderId="28" xfId="1" applyNumberFormat="1" applyFont="1" applyFill="1" applyBorder="1" applyAlignment="1">
      <alignment horizontal="center" vertical="top" wrapText="1"/>
    </xf>
    <xf numFmtId="9" fontId="3" fillId="18" borderId="29" xfId="1" applyFont="1" applyFill="1" applyBorder="1" applyAlignment="1">
      <alignment horizontal="center" vertical="top" wrapText="1"/>
    </xf>
    <xf numFmtId="1" fontId="2" fillId="18" borderId="8" xfId="1" applyNumberFormat="1" applyFont="1" applyFill="1" applyBorder="1" applyAlignment="1">
      <alignment horizontal="center" vertical="top" wrapText="1"/>
    </xf>
    <xf numFmtId="9" fontId="2" fillId="18" borderId="16" xfId="1" applyFont="1" applyFill="1" applyBorder="1" applyAlignment="1">
      <alignment horizontal="center" vertical="top" wrapText="1"/>
    </xf>
    <xf numFmtId="1" fontId="2" fillId="18" borderId="28" xfId="1" applyNumberFormat="1" applyFont="1" applyFill="1" applyBorder="1" applyAlignment="1">
      <alignment horizontal="center" vertical="top" wrapText="1"/>
    </xf>
    <xf numFmtId="9" fontId="2" fillId="18" borderId="46" xfId="1" applyFont="1" applyFill="1" applyBorder="1" applyAlignment="1">
      <alignment horizontal="center" vertical="top" wrapText="1"/>
    </xf>
    <xf numFmtId="0" fontId="0" fillId="0" borderId="101" xfId="0" applyBorder="1"/>
    <xf numFmtId="0" fontId="48" fillId="0" borderId="0" xfId="0" applyFont="1" applyAlignment="1">
      <alignment horizontal="center"/>
    </xf>
    <xf numFmtId="0" fontId="48" fillId="0" borderId="0" xfId="0" applyFont="1"/>
    <xf numFmtId="0" fontId="34" fillId="13" borderId="12" xfId="0" applyFont="1" applyFill="1" applyBorder="1" applyAlignment="1">
      <alignment wrapText="1"/>
    </xf>
    <xf numFmtId="0" fontId="34" fillId="11" borderId="83" xfId="0" applyFont="1" applyFill="1" applyBorder="1" applyAlignment="1">
      <alignment wrapText="1"/>
    </xf>
    <xf numFmtId="0" fontId="34" fillId="5" borderId="12" xfId="0" applyFont="1" applyFill="1" applyBorder="1" applyAlignment="1">
      <alignment wrapText="1"/>
    </xf>
    <xf numFmtId="0" fontId="34" fillId="5" borderId="12" xfId="0" applyFont="1" applyFill="1" applyBorder="1" applyAlignment="1">
      <alignment horizontal="center"/>
    </xf>
    <xf numFmtId="0" fontId="2" fillId="0" borderId="0" xfId="0" applyFont="1" applyAlignment="1">
      <alignment wrapText="1"/>
    </xf>
    <xf numFmtId="0" fontId="10" fillId="0" borderId="84" xfId="0" applyFont="1" applyBorder="1" applyAlignment="1">
      <alignment horizontal="center"/>
    </xf>
    <xf numFmtId="0" fontId="10" fillId="15" borderId="15" xfId="0" applyFont="1" applyFill="1" applyBorder="1" applyAlignment="1">
      <alignment horizontal="center"/>
    </xf>
    <xf numFmtId="0" fontId="10" fillId="13" borderId="0" xfId="0" applyFont="1" applyFill="1" applyAlignment="1">
      <alignment horizontal="center"/>
    </xf>
    <xf numFmtId="0" fontId="10" fillId="11" borderId="85" xfId="0" applyFont="1" applyFill="1" applyBorder="1" applyAlignment="1">
      <alignment horizontal="center"/>
    </xf>
    <xf numFmtId="0" fontId="10" fillId="5" borderId="74" xfId="0" applyFont="1" applyFill="1" applyBorder="1" applyAlignment="1">
      <alignment horizontal="center"/>
    </xf>
    <xf numFmtId="0" fontId="10" fillId="16" borderId="86" xfId="0" applyFont="1" applyFill="1" applyBorder="1" applyAlignment="1">
      <alignment horizontal="center"/>
    </xf>
    <xf numFmtId="9" fontId="36" fillId="16" borderId="15" xfId="1" applyFont="1" applyFill="1" applyBorder="1" applyAlignment="1">
      <alignment horizontal="center"/>
    </xf>
    <xf numFmtId="0" fontId="2" fillId="0" borderId="81" xfId="0" applyFont="1" applyBorder="1" applyAlignment="1">
      <alignment wrapText="1"/>
    </xf>
    <xf numFmtId="0" fontId="10" fillId="0" borderId="50" xfId="0" applyFont="1" applyBorder="1" applyAlignment="1">
      <alignment horizontal="center"/>
    </xf>
    <xf numFmtId="0" fontId="10" fillId="15" borderId="35" xfId="0" applyFont="1" applyFill="1" applyBorder="1" applyAlignment="1">
      <alignment horizontal="center"/>
    </xf>
    <xf numFmtId="0" fontId="10" fillId="13" borderId="81" xfId="0" applyFont="1" applyFill="1" applyBorder="1" applyAlignment="1">
      <alignment horizontal="center"/>
    </xf>
    <xf numFmtId="0" fontId="10" fillId="11" borderId="87" xfId="0" applyFont="1" applyFill="1" applyBorder="1" applyAlignment="1">
      <alignment horizontal="center"/>
    </xf>
    <xf numFmtId="0" fontId="10" fillId="5" borderId="78" xfId="0" applyFont="1" applyFill="1" applyBorder="1" applyAlignment="1">
      <alignment horizontal="center"/>
    </xf>
    <xf numFmtId="0" fontId="10" fillId="16" borderId="49" xfId="0" applyFont="1" applyFill="1" applyBorder="1" applyAlignment="1">
      <alignment horizontal="center"/>
    </xf>
    <xf numFmtId="9" fontId="36" fillId="16" borderId="35" xfId="1" applyFont="1" applyFill="1" applyBorder="1" applyAlignment="1">
      <alignment horizontal="center"/>
    </xf>
    <xf numFmtId="0" fontId="2" fillId="0" borderId="9" xfId="0" applyFont="1" applyBorder="1" applyAlignment="1">
      <alignment wrapText="1"/>
    </xf>
    <xf numFmtId="0" fontId="9" fillId="0" borderId="88" xfId="0" applyFont="1" applyBorder="1" applyAlignment="1">
      <alignment horizontal="center"/>
    </xf>
    <xf numFmtId="0" fontId="9" fillId="15" borderId="103" xfId="0" applyFont="1" applyFill="1" applyBorder="1" applyAlignment="1">
      <alignment horizontal="center"/>
    </xf>
    <xf numFmtId="0" fontId="9" fillId="13" borderId="89" xfId="0" applyFont="1" applyFill="1" applyBorder="1" applyAlignment="1">
      <alignment horizontal="center"/>
    </xf>
    <xf numFmtId="0" fontId="9" fillId="11" borderId="90" xfId="0" applyFont="1" applyFill="1" applyBorder="1" applyAlignment="1">
      <alignment horizontal="center"/>
    </xf>
    <xf numFmtId="0" fontId="9" fillId="5" borderId="91" xfId="0" applyFont="1" applyFill="1" applyBorder="1" applyAlignment="1">
      <alignment horizontal="center"/>
    </xf>
    <xf numFmtId="0" fontId="38" fillId="0" borderId="8" xfId="0" applyFont="1" applyBorder="1" applyAlignment="1">
      <alignment horizontal="center"/>
    </xf>
    <xf numFmtId="0" fontId="38" fillId="15" borderId="16" xfId="0" applyFont="1" applyFill="1" applyBorder="1" applyAlignment="1">
      <alignment horizontal="center"/>
    </xf>
    <xf numFmtId="0" fontId="38" fillId="13" borderId="9" xfId="0" applyFont="1" applyFill="1" applyBorder="1" applyAlignment="1">
      <alignment horizontal="center"/>
    </xf>
    <xf numFmtId="0" fontId="39" fillId="11" borderId="92" xfId="0" applyFont="1" applyFill="1" applyBorder="1" applyAlignment="1">
      <alignment horizontal="center"/>
    </xf>
    <xf numFmtId="0" fontId="39" fillId="5" borderId="65" xfId="0" applyFont="1" applyFill="1" applyBorder="1" applyAlignment="1">
      <alignment horizontal="center"/>
    </xf>
    <xf numFmtId="9" fontId="38" fillId="0" borderId="11" xfId="1" applyFont="1" applyFill="1" applyBorder="1" applyAlignment="1">
      <alignment horizontal="center"/>
    </xf>
    <xf numFmtId="9" fontId="38" fillId="15" borderId="5" xfId="1" applyFont="1" applyFill="1" applyBorder="1" applyAlignment="1">
      <alignment horizontal="center"/>
    </xf>
    <xf numFmtId="9" fontId="38" fillId="13" borderId="53" xfId="1" applyFont="1" applyFill="1" applyBorder="1" applyAlignment="1">
      <alignment horizontal="center"/>
    </xf>
    <xf numFmtId="9" fontId="38" fillId="11" borderId="93" xfId="1" applyFont="1" applyFill="1" applyBorder="1" applyAlignment="1">
      <alignment horizontal="center"/>
    </xf>
    <xf numFmtId="9" fontId="38" fillId="5" borderId="54" xfId="1" applyFont="1" applyFill="1" applyBorder="1" applyAlignment="1">
      <alignment horizontal="center"/>
    </xf>
    <xf numFmtId="9" fontId="0" fillId="0" borderId="0" xfId="0" applyNumberFormat="1"/>
    <xf numFmtId="0" fontId="46" fillId="0" borderId="22" xfId="0" applyFont="1" applyBorder="1" applyAlignment="1">
      <alignment wrapText="1"/>
    </xf>
    <xf numFmtId="0" fontId="46" fillId="0" borderId="51" xfId="0" applyFont="1" applyBorder="1" applyAlignment="1">
      <alignment wrapText="1"/>
    </xf>
    <xf numFmtId="0" fontId="32" fillId="0" borderId="5" xfId="0" applyFont="1" applyBorder="1" applyAlignment="1">
      <alignment horizontal="left"/>
    </xf>
    <xf numFmtId="0" fontId="32" fillId="0" borderId="11" xfId="0" applyFont="1" applyBorder="1"/>
    <xf numFmtId="0" fontId="32" fillId="0" borderId="13" xfId="0" applyFont="1" applyBorder="1"/>
    <xf numFmtId="0" fontId="2" fillId="0" borderId="66" xfId="0" applyFont="1" applyBorder="1" applyAlignment="1">
      <alignment vertical="top" wrapText="1"/>
    </xf>
    <xf numFmtId="0" fontId="32" fillId="4" borderId="5" xfId="0" applyFont="1" applyFill="1" applyBorder="1" applyAlignment="1">
      <alignment wrapText="1"/>
    </xf>
    <xf numFmtId="9" fontId="32" fillId="4" borderId="5" xfId="1" applyFont="1" applyFill="1" applyBorder="1" applyAlignment="1">
      <alignment horizontal="center"/>
    </xf>
    <xf numFmtId="0" fontId="2" fillId="0" borderId="22" xfId="0" applyFont="1" applyBorder="1" applyAlignment="1">
      <alignment vertical="top" wrapText="1"/>
    </xf>
    <xf numFmtId="9" fontId="40" fillId="13" borderId="5" xfId="1" applyFont="1" applyFill="1" applyBorder="1" applyAlignment="1">
      <alignment horizontal="center" vertical="top"/>
    </xf>
    <xf numFmtId="9" fontId="40" fillId="11" borderId="5" xfId="1" applyFont="1" applyFill="1" applyBorder="1" applyAlignment="1">
      <alignment horizontal="center" vertical="top"/>
    </xf>
    <xf numFmtId="9" fontId="40" fillId="5" borderId="25" xfId="1" applyFont="1" applyFill="1" applyBorder="1" applyAlignment="1">
      <alignment horizontal="center" vertical="top"/>
    </xf>
    <xf numFmtId="0" fontId="32" fillId="13" borderId="5" xfId="0" applyFont="1" applyFill="1" applyBorder="1" applyAlignment="1">
      <alignment wrapText="1"/>
    </xf>
    <xf numFmtId="0" fontId="32" fillId="13" borderId="5" xfId="0" applyFont="1" applyFill="1" applyBorder="1" applyAlignment="1">
      <alignment horizontal="center"/>
    </xf>
    <xf numFmtId="9" fontId="32" fillId="13" borderId="5" xfId="1" applyFont="1" applyFill="1" applyBorder="1" applyAlignment="1">
      <alignment horizontal="center"/>
    </xf>
    <xf numFmtId="0" fontId="2" fillId="0" borderId="51" xfId="0" applyFont="1" applyBorder="1" applyAlignment="1">
      <alignment vertical="top" wrapText="1"/>
    </xf>
    <xf numFmtId="9" fontId="40" fillId="13" borderId="46" xfId="1" applyFont="1" applyFill="1" applyBorder="1" applyAlignment="1">
      <alignment horizontal="center" vertical="top"/>
    </xf>
    <xf numFmtId="9" fontId="40" fillId="11" borderId="46" xfId="1" applyFont="1" applyFill="1" applyBorder="1" applyAlignment="1">
      <alignment horizontal="center" vertical="top"/>
    </xf>
    <xf numFmtId="9" fontId="40" fillId="5" borderId="29" xfId="1" applyFont="1" applyFill="1" applyBorder="1" applyAlignment="1">
      <alignment horizontal="center" vertical="top"/>
    </xf>
    <xf numFmtId="0" fontId="15" fillId="0" borderId="0" xfId="0" quotePrefix="1" applyFont="1" applyAlignment="1">
      <alignment horizontal="left" vertical="top"/>
    </xf>
    <xf numFmtId="9" fontId="2" fillId="17" borderId="46" xfId="0" applyNumberFormat="1" applyFont="1" applyFill="1" applyBorder="1" applyAlignment="1">
      <alignment horizontal="center" vertical="top"/>
    </xf>
    <xf numFmtId="0" fontId="19" fillId="0" borderId="11" xfId="0" applyFont="1" applyBorder="1" applyAlignment="1">
      <alignment horizontal="center" vertical="top" wrapText="1"/>
    </xf>
    <xf numFmtId="9" fontId="15" fillId="0" borderId="11" xfId="1" applyFont="1" applyBorder="1" applyAlignment="1">
      <alignment horizontal="center" vertical="top"/>
    </xf>
    <xf numFmtId="9" fontId="15" fillId="0" borderId="25" xfId="1" applyFont="1" applyBorder="1" applyAlignment="1">
      <alignment horizontal="center" vertical="top"/>
    </xf>
    <xf numFmtId="0" fontId="23" fillId="11" borderId="13" xfId="0" applyFont="1" applyFill="1" applyBorder="1" applyAlignment="1">
      <alignment vertical="top" wrapText="1"/>
    </xf>
    <xf numFmtId="0" fontId="21" fillId="0" borderId="5" xfId="0" applyFont="1" applyBorder="1" applyAlignment="1">
      <alignment horizontal="center" vertical="top" wrapText="1"/>
    </xf>
    <xf numFmtId="0" fontId="51" fillId="0" borderId="5" xfId="0" applyFont="1" applyBorder="1" applyAlignment="1">
      <alignment horizontal="left" vertical="top" wrapText="1"/>
    </xf>
    <xf numFmtId="0" fontId="17" fillId="6" borderId="46" xfId="0" applyFont="1" applyFill="1" applyBorder="1" applyAlignment="1">
      <alignment horizontal="left" vertical="top" wrapText="1"/>
    </xf>
    <xf numFmtId="0" fontId="14" fillId="5" borderId="46" xfId="0" applyFont="1" applyFill="1" applyBorder="1" applyAlignment="1">
      <alignment horizontal="left" vertical="top" wrapText="1"/>
    </xf>
    <xf numFmtId="164" fontId="14" fillId="6" borderId="46" xfId="0" applyNumberFormat="1" applyFont="1" applyFill="1" applyBorder="1" applyAlignment="1">
      <alignment horizontal="left" vertical="top" wrapText="1"/>
    </xf>
    <xf numFmtId="0" fontId="14" fillId="6" borderId="28" xfId="0" applyFont="1" applyFill="1" applyBorder="1" applyAlignment="1">
      <alignment horizontal="left" vertical="top" wrapText="1"/>
    </xf>
    <xf numFmtId="0" fontId="23" fillId="5" borderId="56" xfId="0" applyFont="1" applyFill="1" applyBorder="1" applyAlignment="1">
      <alignment horizontal="left" vertical="top" wrapText="1"/>
    </xf>
    <xf numFmtId="0" fontId="15" fillId="0" borderId="53" xfId="0" applyFont="1" applyBorder="1" applyAlignment="1">
      <alignment horizontal="left" vertical="top" wrapText="1"/>
    </xf>
    <xf numFmtId="9" fontId="15" fillId="0" borderId="28" xfId="1" applyFont="1" applyBorder="1" applyAlignment="1">
      <alignment horizontal="center" vertical="top"/>
    </xf>
    <xf numFmtId="9" fontId="15" fillId="0" borderId="46" xfId="1" applyFont="1" applyBorder="1" applyAlignment="1">
      <alignment horizontal="center" vertical="top"/>
    </xf>
    <xf numFmtId="15" fontId="15" fillId="0" borderId="46" xfId="0" applyNumberFormat="1" applyFont="1" applyBorder="1" applyAlignment="1">
      <alignment horizontal="left" vertical="top"/>
    </xf>
    <xf numFmtId="44" fontId="15" fillId="0" borderId="46" xfId="0" applyNumberFormat="1" applyFont="1" applyBorder="1" applyAlignment="1">
      <alignment horizontal="left" vertical="top"/>
    </xf>
    <xf numFmtId="0" fontId="15" fillId="0" borderId="29" xfId="0" applyFont="1" applyBorder="1" applyAlignment="1">
      <alignment horizontal="left" vertical="top"/>
    </xf>
    <xf numFmtId="0" fontId="15" fillId="10" borderId="0" xfId="0" applyFont="1" applyFill="1" applyAlignment="1">
      <alignment horizontal="center" vertical="top"/>
    </xf>
    <xf numFmtId="0" fontId="23" fillId="0" borderId="11" xfId="0" applyFont="1" applyBorder="1" applyAlignment="1">
      <alignment horizontal="center" vertical="top"/>
    </xf>
    <xf numFmtId="9" fontId="15" fillId="0" borderId="21" xfId="1" applyFont="1" applyBorder="1" applyAlignment="1">
      <alignment horizontal="center" vertical="top"/>
    </xf>
    <xf numFmtId="0" fontId="23" fillId="7" borderId="56" xfId="0" applyFont="1" applyFill="1" applyBorder="1" applyAlignment="1">
      <alignment horizontal="left" vertical="top" wrapText="1"/>
    </xf>
    <xf numFmtId="9" fontId="2" fillId="7" borderId="5" xfId="0" applyNumberFormat="1" applyFont="1" applyFill="1" applyBorder="1" applyAlignment="1">
      <alignment horizontal="center" vertical="top"/>
    </xf>
    <xf numFmtId="0" fontId="47" fillId="0" borderId="11" xfId="0" applyFont="1" applyBorder="1" applyAlignment="1">
      <alignment wrapText="1"/>
    </xf>
    <xf numFmtId="0" fontId="28" fillId="0" borderId="11" xfId="0" applyFont="1" applyBorder="1" applyAlignment="1">
      <alignment horizontal="left" vertical="top" wrapText="1"/>
    </xf>
    <xf numFmtId="0" fontId="28" fillId="0" borderId="5" xfId="0" applyFont="1" applyBorder="1" applyAlignment="1">
      <alignment horizontal="left" vertical="top" wrapText="1"/>
    </xf>
    <xf numFmtId="0" fontId="18" fillId="8" borderId="5" xfId="0" applyFont="1" applyFill="1" applyBorder="1" applyAlignment="1">
      <alignment vertical="top" wrapText="1"/>
    </xf>
    <xf numFmtId="0" fontId="23" fillId="7" borderId="5" xfId="0" applyFont="1" applyFill="1" applyBorder="1" applyAlignment="1">
      <alignment vertical="top" wrapText="1"/>
    </xf>
    <xf numFmtId="0" fontId="23" fillId="11" borderId="5" xfId="0" applyFont="1" applyFill="1" applyBorder="1" applyAlignment="1">
      <alignment vertical="top" wrapText="1"/>
    </xf>
    <xf numFmtId="0" fontId="21" fillId="0" borderId="5" xfId="0" applyFont="1" applyBorder="1" applyAlignment="1">
      <alignment horizontal="left" vertical="top" wrapText="1"/>
    </xf>
    <xf numFmtId="164" fontId="19" fillId="6" borderId="62" xfId="0" applyNumberFormat="1" applyFont="1" applyFill="1" applyBorder="1" applyAlignment="1">
      <alignment horizontal="right" vertical="top" wrapText="1"/>
    </xf>
    <xf numFmtId="164" fontId="19" fillId="6" borderId="62" xfId="0" applyNumberFormat="1" applyFont="1" applyFill="1" applyBorder="1" applyAlignment="1">
      <alignment horizontal="left" vertical="top" wrapText="1"/>
    </xf>
    <xf numFmtId="0" fontId="19" fillId="6" borderId="62" xfId="0" applyFont="1" applyFill="1" applyBorder="1" applyAlignment="1">
      <alignment horizontal="left" vertical="top" wrapText="1"/>
    </xf>
    <xf numFmtId="0" fontId="19" fillId="6" borderId="63" xfId="0" applyFont="1" applyFill="1" applyBorder="1" applyAlignment="1">
      <alignment horizontal="left" vertical="top" wrapText="1"/>
    </xf>
    <xf numFmtId="0" fontId="18" fillId="8" borderId="13" xfId="0" applyFont="1" applyFill="1" applyBorder="1" applyAlignment="1">
      <alignment vertical="top" wrapText="1"/>
    </xf>
    <xf numFmtId="0" fontId="19" fillId="0" borderId="12" xfId="0" applyFont="1" applyBorder="1" applyAlignment="1">
      <alignment vertical="top" wrapText="1"/>
    </xf>
    <xf numFmtId="9" fontId="19" fillId="0" borderId="11" xfId="1" applyFont="1" applyFill="1" applyBorder="1" applyAlignment="1">
      <alignment horizontal="center" vertical="top" wrapText="1"/>
    </xf>
    <xf numFmtId="0" fontId="18" fillId="5" borderId="13" xfId="0" applyFont="1" applyFill="1" applyBorder="1" applyAlignment="1">
      <alignment vertical="top" wrapText="1"/>
    </xf>
    <xf numFmtId="0" fontId="19" fillId="5" borderId="22" xfId="0" applyFont="1" applyFill="1" applyBorder="1" applyAlignment="1">
      <alignment horizontal="left" vertical="top" wrapText="1"/>
    </xf>
    <xf numFmtId="0" fontId="18" fillId="5" borderId="5" xfId="0" applyFont="1" applyFill="1" applyBorder="1" applyAlignment="1">
      <alignment vertical="top" wrapText="1"/>
    </xf>
    <xf numFmtId="0" fontId="15" fillId="5" borderId="5" xfId="0" applyFont="1" applyFill="1" applyBorder="1" applyAlignment="1">
      <alignment horizontal="left" vertical="top" wrapText="1"/>
    </xf>
    <xf numFmtId="0" fontId="19" fillId="0" borderId="13" xfId="0" quotePrefix="1" applyFont="1" applyBorder="1" applyAlignment="1">
      <alignment horizontal="left" vertical="top" wrapText="1"/>
    </xf>
    <xf numFmtId="0" fontId="15" fillId="0" borderId="0" xfId="0" applyFont="1" applyAlignment="1">
      <alignment horizontal="left" vertical="top" wrapText="1"/>
    </xf>
    <xf numFmtId="0" fontId="13" fillId="8" borderId="27" xfId="0" applyFont="1" applyFill="1" applyBorder="1" applyAlignment="1">
      <alignment vertical="top" wrapText="1"/>
    </xf>
    <xf numFmtId="0" fontId="17" fillId="6" borderId="45" xfId="0" applyFont="1" applyFill="1" applyBorder="1" applyAlignment="1">
      <alignment vertical="top" wrapText="1"/>
    </xf>
    <xf numFmtId="0" fontId="14" fillId="6" borderId="45" xfId="0" applyFont="1" applyFill="1" applyBorder="1" applyAlignment="1">
      <alignment vertical="top" wrapText="1"/>
    </xf>
    <xf numFmtId="0" fontId="14" fillId="6" borderId="58" xfId="0" applyFont="1" applyFill="1" applyBorder="1" applyAlignment="1">
      <alignment horizontal="center" vertical="top" wrapText="1"/>
    </xf>
    <xf numFmtId="164" fontId="14" fillId="6" borderId="58" xfId="0" applyNumberFormat="1" applyFont="1" applyFill="1" applyBorder="1" applyAlignment="1">
      <alignment horizontal="right" vertical="top" wrapText="1"/>
    </xf>
    <xf numFmtId="164" fontId="14" fillId="6" borderId="45" xfId="0" applyNumberFormat="1" applyFont="1" applyFill="1" applyBorder="1" applyAlignment="1">
      <alignment horizontal="left" vertical="top" wrapText="1"/>
    </xf>
    <xf numFmtId="0" fontId="14" fillId="6" borderId="45" xfId="0" applyFont="1" applyFill="1" applyBorder="1" applyAlignment="1">
      <alignment horizontal="left" vertical="top" wrapText="1"/>
    </xf>
    <xf numFmtId="0" fontId="19" fillId="6" borderId="43" xfId="0" applyFont="1" applyFill="1" applyBorder="1" applyAlignment="1">
      <alignment horizontal="left" vertical="top" wrapText="1"/>
    </xf>
    <xf numFmtId="0" fontId="55" fillId="0" borderId="0" xfId="0" applyFont="1" applyAlignment="1">
      <alignment horizontal="left" vertical="top"/>
    </xf>
    <xf numFmtId="0" fontId="55" fillId="0" borderId="0" xfId="0" applyFont="1" applyAlignment="1">
      <alignment horizontal="left" vertical="top" wrapText="1"/>
    </xf>
    <xf numFmtId="0" fontId="55" fillId="0" borderId="0" xfId="0" applyFont="1" applyAlignment="1">
      <alignment horizontal="left"/>
    </xf>
    <xf numFmtId="0" fontId="18" fillId="7" borderId="5" xfId="0" applyFont="1" applyFill="1" applyBorder="1" applyAlignment="1">
      <alignment vertical="top" wrapText="1"/>
    </xf>
    <xf numFmtId="15" fontId="15" fillId="0" borderId="5" xfId="1" applyNumberFormat="1" applyFont="1" applyFill="1" applyBorder="1" applyAlignment="1">
      <alignment horizontal="left" vertical="top" wrapText="1"/>
    </xf>
    <xf numFmtId="0" fontId="23" fillId="0" borderId="5" xfId="0" applyFont="1" applyBorder="1" applyAlignment="1">
      <alignment horizontal="left" vertical="top" wrapText="1"/>
    </xf>
    <xf numFmtId="0" fontId="23" fillId="8" borderId="22" xfId="0" applyFont="1" applyFill="1" applyBorder="1" applyAlignment="1">
      <alignment horizontal="left" vertical="top" wrapText="1"/>
    </xf>
    <xf numFmtId="0" fontId="18" fillId="5" borderId="22" xfId="0" applyFont="1" applyFill="1" applyBorder="1" applyAlignment="1">
      <alignment horizontal="left" vertical="top" wrapText="1"/>
    </xf>
    <xf numFmtId="0" fontId="14" fillId="6" borderId="15" xfId="0" applyFont="1" applyFill="1" applyBorder="1" applyAlignment="1">
      <alignment vertical="top" wrapText="1"/>
    </xf>
    <xf numFmtId="9" fontId="14" fillId="6" borderId="5" xfId="0" applyNumberFormat="1" applyFont="1" applyFill="1" applyBorder="1" applyAlignment="1">
      <alignment horizontal="left" vertical="top" wrapText="1"/>
    </xf>
    <xf numFmtId="15" fontId="14" fillId="6" borderId="14" xfId="0" applyNumberFormat="1" applyFont="1" applyFill="1" applyBorder="1" applyAlignment="1">
      <alignment horizontal="left" vertical="top" wrapText="1"/>
    </xf>
    <xf numFmtId="15" fontId="14" fillId="6" borderId="16" xfId="0" applyNumberFormat="1" applyFont="1" applyFill="1" applyBorder="1" applyAlignment="1">
      <alignment horizontal="left" vertical="top" wrapText="1"/>
    </xf>
    <xf numFmtId="15" fontId="14" fillId="6" borderId="35" xfId="0" applyNumberFormat="1" applyFont="1" applyFill="1" applyBorder="1" applyAlignment="1">
      <alignment horizontal="left" vertical="top" wrapText="1"/>
    </xf>
    <xf numFmtId="15" fontId="14" fillId="6" borderId="15" xfId="0" applyNumberFormat="1" applyFont="1" applyFill="1" applyBorder="1" applyAlignment="1">
      <alignment horizontal="left" vertical="top" wrapText="1"/>
    </xf>
    <xf numFmtId="15" fontId="14" fillId="6" borderId="36" xfId="0" applyNumberFormat="1" applyFont="1" applyFill="1" applyBorder="1" applyAlignment="1">
      <alignment horizontal="left" vertical="top" wrapText="1"/>
    </xf>
    <xf numFmtId="0" fontId="14" fillId="6" borderId="35" xfId="0" applyFont="1" applyFill="1" applyBorder="1" applyAlignment="1">
      <alignment vertical="top" wrapText="1"/>
    </xf>
    <xf numFmtId="0" fontId="14" fillId="6" borderId="35" xfId="0" applyFont="1" applyFill="1" applyBorder="1" applyAlignment="1">
      <alignment horizontal="left" vertical="top" wrapText="1"/>
    </xf>
    <xf numFmtId="0" fontId="13" fillId="6" borderId="14" xfId="0" applyFont="1" applyFill="1" applyBorder="1" applyAlignment="1">
      <alignment horizontal="center" vertical="top" wrapText="1"/>
    </xf>
    <xf numFmtId="0" fontId="13" fillId="6" borderId="16" xfId="0" applyFont="1" applyFill="1" applyBorder="1" applyAlignment="1">
      <alignment horizontal="center" vertical="top" wrapText="1"/>
    </xf>
    <xf numFmtId="0" fontId="20" fillId="10" borderId="38" xfId="0" applyFont="1" applyFill="1" applyBorder="1" applyAlignment="1">
      <alignment horizontal="left" vertical="top"/>
    </xf>
    <xf numFmtId="0" fontId="14" fillId="6" borderId="44" xfId="0" applyFont="1" applyFill="1" applyBorder="1" applyAlignment="1">
      <alignment horizontal="left" vertical="top" wrapText="1"/>
    </xf>
    <xf numFmtId="164" fontId="14" fillId="6" borderId="15" xfId="0" applyNumberFormat="1" applyFont="1" applyFill="1" applyBorder="1" applyAlignment="1">
      <alignment horizontal="right" vertical="top" wrapText="1"/>
    </xf>
    <xf numFmtId="164" fontId="14" fillId="6" borderId="35" xfId="0" applyNumberFormat="1" applyFont="1" applyFill="1" applyBorder="1" applyAlignment="1">
      <alignment horizontal="right" vertical="top" wrapText="1"/>
    </xf>
    <xf numFmtId="164" fontId="14" fillId="6" borderId="46" xfId="0" applyNumberFormat="1" applyFont="1" applyFill="1" applyBorder="1" applyAlignment="1">
      <alignment horizontal="right" vertical="top" wrapText="1"/>
    </xf>
    <xf numFmtId="0" fontId="13" fillId="6" borderId="46" xfId="0" applyFont="1" applyFill="1" applyBorder="1" applyAlignment="1">
      <alignment horizontal="center" vertical="top" wrapText="1"/>
    </xf>
    <xf numFmtId="9" fontId="14" fillId="6" borderId="46" xfId="0" applyNumberFormat="1" applyFont="1" applyFill="1" applyBorder="1" applyAlignment="1">
      <alignment horizontal="left" vertical="top" wrapText="1"/>
    </xf>
    <xf numFmtId="0" fontId="14" fillId="6" borderId="13" xfId="0" applyFont="1" applyFill="1" applyBorder="1" applyAlignment="1">
      <alignment horizontal="left" vertical="top" wrapText="1"/>
    </xf>
    <xf numFmtId="0" fontId="14" fillId="5" borderId="14" xfId="0" applyFont="1" applyFill="1" applyBorder="1" applyAlignment="1">
      <alignment horizontal="left" vertical="top" wrapText="1"/>
    </xf>
    <xf numFmtId="0" fontId="14" fillId="6" borderId="3" xfId="0" applyFont="1" applyFill="1" applyBorder="1" applyAlignment="1">
      <alignment horizontal="left" vertical="top" wrapText="1"/>
    </xf>
    <xf numFmtId="0" fontId="14" fillId="8" borderId="48" xfId="0" applyFont="1" applyFill="1" applyBorder="1" applyAlignment="1">
      <alignment horizontal="left" vertical="top" wrapText="1"/>
    </xf>
    <xf numFmtId="0" fontId="14" fillId="11" borderId="14" xfId="0" applyFont="1" applyFill="1" applyBorder="1" applyAlignment="1">
      <alignment vertical="top" wrapText="1"/>
    </xf>
    <xf numFmtId="0" fontId="14" fillId="11" borderId="16" xfId="0" applyFont="1" applyFill="1" applyBorder="1" applyAlignment="1">
      <alignment vertical="top" wrapText="1"/>
    </xf>
    <xf numFmtId="0" fontId="14" fillId="11" borderId="35" xfId="0" applyFont="1" applyFill="1" applyBorder="1" applyAlignment="1">
      <alignment vertical="top" wrapText="1"/>
    </xf>
    <xf numFmtId="9" fontId="14" fillId="8" borderId="5" xfId="0" applyNumberFormat="1" applyFont="1" applyFill="1" applyBorder="1" applyAlignment="1">
      <alignment horizontal="left" vertical="top" wrapText="1"/>
    </xf>
    <xf numFmtId="0" fontId="18" fillId="10" borderId="38" xfId="0" applyFont="1" applyFill="1" applyBorder="1" applyAlignment="1">
      <alignment horizontal="left" vertical="top"/>
    </xf>
    <xf numFmtId="0" fontId="18" fillId="0" borderId="0" xfId="0" applyFont="1" applyAlignment="1">
      <alignment horizontal="left"/>
    </xf>
    <xf numFmtId="0" fontId="14" fillId="6" borderId="7" xfId="0" applyFont="1" applyFill="1" applyBorder="1" applyAlignment="1">
      <alignment vertical="top" wrapText="1"/>
    </xf>
    <xf numFmtId="0" fontId="14" fillId="6" borderId="10" xfId="0" applyFont="1" applyFill="1" applyBorder="1" applyAlignment="1">
      <alignment vertical="top" wrapText="1"/>
    </xf>
    <xf numFmtId="0" fontId="14" fillId="8" borderId="15" xfId="0" applyFont="1" applyFill="1" applyBorder="1" applyAlignment="1">
      <alignment horizontal="left" vertical="top" wrapText="1"/>
    </xf>
    <xf numFmtId="0" fontId="14" fillId="6" borderId="50" xfId="0" applyFont="1" applyFill="1" applyBorder="1" applyAlignment="1">
      <alignment horizontal="left" vertical="top" wrapText="1"/>
    </xf>
    <xf numFmtId="0" fontId="14" fillId="6" borderId="49" xfId="0" applyFont="1" applyFill="1" applyBorder="1" applyAlignment="1">
      <alignment horizontal="left" vertical="top" wrapText="1"/>
    </xf>
    <xf numFmtId="0" fontId="14" fillId="6" borderId="8" xfId="0" applyFont="1" applyFill="1" applyBorder="1" applyAlignment="1">
      <alignment horizontal="left" vertical="top" wrapText="1"/>
    </xf>
    <xf numFmtId="0" fontId="14" fillId="6" borderId="10" xfId="0" applyFont="1" applyFill="1" applyBorder="1" applyAlignment="1">
      <alignment horizontal="left" vertical="top" wrapText="1"/>
    </xf>
    <xf numFmtId="0" fontId="18" fillId="4" borderId="5" xfId="0" applyFont="1" applyFill="1" applyBorder="1" applyAlignment="1">
      <alignment vertical="top" wrapText="1"/>
    </xf>
    <xf numFmtId="0" fontId="15" fillId="0" borderId="21" xfId="0" applyFont="1" applyBorder="1" applyAlignment="1">
      <alignment horizontal="left" vertical="top"/>
    </xf>
    <xf numFmtId="0" fontId="15" fillId="0" borderId="21" xfId="0" applyFont="1" applyBorder="1" applyAlignment="1">
      <alignment horizontal="left" vertical="top" wrapText="1"/>
    </xf>
    <xf numFmtId="0" fontId="15" fillId="0" borderId="65" xfId="0" applyFont="1" applyBorder="1" applyAlignment="1">
      <alignment horizontal="left" vertical="top" wrapText="1"/>
    </xf>
    <xf numFmtId="0" fontId="15" fillId="0" borderId="54" xfId="0" applyFont="1" applyBorder="1" applyAlignment="1">
      <alignment horizontal="left" vertical="top" wrapText="1"/>
    </xf>
    <xf numFmtId="9" fontId="15" fillId="0" borderId="14" xfId="1" applyFont="1" applyBorder="1" applyAlignment="1">
      <alignment horizontal="center" vertical="top"/>
    </xf>
    <xf numFmtId="0" fontId="23" fillId="4" borderId="22" xfId="0" applyFont="1" applyFill="1" applyBorder="1" applyAlignment="1">
      <alignment vertical="top" wrapText="1"/>
    </xf>
    <xf numFmtId="0" fontId="23" fillId="4" borderId="5" xfId="0" applyFont="1" applyFill="1" applyBorder="1" applyAlignment="1">
      <alignment horizontal="left" vertical="top" wrapText="1"/>
    </xf>
    <xf numFmtId="0" fontId="23" fillId="4" borderId="21" xfId="0" applyFont="1" applyFill="1" applyBorder="1" applyAlignment="1">
      <alignment horizontal="left" vertical="top" wrapText="1"/>
    </xf>
    <xf numFmtId="0" fontId="15" fillId="0" borderId="73" xfId="0" applyFont="1" applyBorder="1" applyAlignment="1">
      <alignment horizontal="left" vertical="top"/>
    </xf>
    <xf numFmtId="0" fontId="15" fillId="0" borderId="74" xfId="0" applyFont="1" applyBorder="1" applyAlignment="1">
      <alignment horizontal="left" vertical="top"/>
    </xf>
    <xf numFmtId="0" fontId="15" fillId="0" borderId="64" xfId="0" applyFont="1" applyBorder="1" applyAlignment="1">
      <alignment horizontal="left" vertical="top"/>
    </xf>
    <xf numFmtId="0" fontId="15" fillId="0" borderId="9" xfId="0" applyFont="1" applyBorder="1" applyAlignment="1">
      <alignment horizontal="left" vertical="top"/>
    </xf>
    <xf numFmtId="0" fontId="15" fillId="0" borderId="65" xfId="0" applyFont="1" applyBorder="1" applyAlignment="1">
      <alignment horizontal="left" vertical="top"/>
    </xf>
    <xf numFmtId="0" fontId="15" fillId="0" borderId="14" xfId="0" applyFont="1" applyBorder="1" applyAlignment="1">
      <alignment horizontal="left" vertical="top"/>
    </xf>
    <xf numFmtId="0" fontId="15" fillId="0" borderId="15" xfId="0" applyFont="1" applyBorder="1" applyAlignment="1">
      <alignment horizontal="left" vertical="top"/>
    </xf>
    <xf numFmtId="0" fontId="15" fillId="0" borderId="16" xfId="0" applyFont="1" applyBorder="1" applyAlignment="1">
      <alignment horizontal="left" vertical="top"/>
    </xf>
    <xf numFmtId="0" fontId="15" fillId="0" borderId="5" xfId="0" applyFont="1" applyBorder="1" applyAlignment="1">
      <alignment horizontal="left" vertical="top"/>
    </xf>
    <xf numFmtId="9" fontId="15" fillId="0" borderId="0" xfId="1" applyFont="1" applyAlignment="1">
      <alignment horizontal="left" vertical="top"/>
    </xf>
    <xf numFmtId="9" fontId="15" fillId="0" borderId="74" xfId="1" applyFont="1" applyBorder="1" applyAlignment="1">
      <alignment horizontal="left" vertical="top"/>
    </xf>
    <xf numFmtId="9" fontId="15" fillId="0" borderId="65" xfId="1" applyFont="1" applyBorder="1" applyAlignment="1">
      <alignment horizontal="left" vertical="top"/>
    </xf>
    <xf numFmtId="9" fontId="15" fillId="0" borderId="21" xfId="1" applyFont="1" applyBorder="1" applyAlignment="1">
      <alignment horizontal="left" vertical="top"/>
    </xf>
    <xf numFmtId="9" fontId="15" fillId="0" borderId="54" xfId="1" applyFont="1" applyBorder="1" applyAlignment="1">
      <alignment horizontal="left" vertical="top"/>
    </xf>
    <xf numFmtId="0" fontId="15" fillId="0" borderId="14" xfId="0" applyFont="1" applyBorder="1" applyAlignment="1">
      <alignment horizontal="left" vertical="top" wrapText="1"/>
    </xf>
    <xf numFmtId="9" fontId="23" fillId="4" borderId="5" xfId="1" applyFont="1" applyFill="1" applyBorder="1" applyAlignment="1">
      <alignment horizontal="left" vertical="top"/>
    </xf>
    <xf numFmtId="0" fontId="15" fillId="0" borderId="74" xfId="0" applyFont="1" applyBorder="1" applyAlignment="1">
      <alignment horizontal="left" vertical="top" wrapText="1"/>
    </xf>
    <xf numFmtId="0" fontId="23" fillId="8" borderId="24" xfId="0" applyFont="1" applyFill="1" applyBorder="1" applyAlignment="1">
      <alignment vertical="top" wrapText="1"/>
    </xf>
    <xf numFmtId="0" fontId="15" fillId="0" borderId="76" xfId="0" applyFont="1" applyBorder="1" applyAlignment="1">
      <alignment vertical="top" wrapText="1"/>
    </xf>
    <xf numFmtId="9" fontId="15" fillId="0" borderId="40" xfId="1" applyFont="1" applyBorder="1" applyAlignment="1">
      <alignment horizontal="center" vertical="top" wrapText="1"/>
    </xf>
    <xf numFmtId="0" fontId="23" fillId="5" borderId="24" xfId="0" applyFont="1" applyFill="1" applyBorder="1" applyAlignment="1">
      <alignment horizontal="left" vertical="top" wrapText="1"/>
    </xf>
    <xf numFmtId="9" fontId="15" fillId="0" borderId="14" xfId="1" applyFont="1" applyBorder="1" applyAlignment="1">
      <alignment horizontal="left" vertical="top" wrapText="1"/>
    </xf>
    <xf numFmtId="15" fontId="15" fillId="0" borderId="14" xfId="1" applyNumberFormat="1" applyFont="1" applyBorder="1" applyAlignment="1">
      <alignment horizontal="left" vertical="top"/>
    </xf>
    <xf numFmtId="9" fontId="15" fillId="0" borderId="16" xfId="1" applyFont="1" applyBorder="1" applyAlignment="1">
      <alignment horizontal="left" vertical="top"/>
    </xf>
    <xf numFmtId="0" fontId="23" fillId="8" borderId="77" xfId="0" applyFont="1" applyFill="1" applyBorder="1" applyAlignment="1">
      <alignment horizontal="left" vertical="top"/>
    </xf>
    <xf numFmtId="0" fontId="15" fillId="0" borderId="35" xfId="0" applyFont="1" applyBorder="1" applyAlignment="1">
      <alignment horizontal="left" vertical="top" wrapText="1"/>
    </xf>
    <xf numFmtId="9" fontId="15" fillId="0" borderId="78" xfId="1" applyFont="1" applyBorder="1" applyAlignment="1">
      <alignment horizontal="left" vertical="top"/>
    </xf>
    <xf numFmtId="9" fontId="15" fillId="0" borderId="35" xfId="1" applyFont="1" applyBorder="1" applyAlignment="1">
      <alignment horizontal="left" vertical="top"/>
    </xf>
    <xf numFmtId="9" fontId="15" fillId="0" borderId="80" xfId="1" applyFont="1" applyBorder="1" applyAlignment="1">
      <alignment horizontal="left" vertical="top"/>
    </xf>
    <xf numFmtId="9" fontId="15" fillId="0" borderId="60" xfId="1" applyFont="1" applyBorder="1" applyAlignment="1">
      <alignment horizontal="left" vertical="top"/>
    </xf>
    <xf numFmtId="0" fontId="15" fillId="0" borderId="40" xfId="1" applyNumberFormat="1" applyFont="1" applyBorder="1" applyAlignment="1">
      <alignment vertical="top" wrapText="1"/>
    </xf>
    <xf numFmtId="0" fontId="23" fillId="8" borderId="67" xfId="0" applyFont="1" applyFill="1" applyBorder="1" applyAlignment="1">
      <alignment horizontal="left" vertical="top"/>
    </xf>
    <xf numFmtId="0" fontId="15" fillId="0" borderId="36" xfId="0" applyFont="1" applyBorder="1" applyAlignment="1">
      <alignment horizontal="left" vertical="top" wrapText="1"/>
    </xf>
    <xf numFmtId="9" fontId="15" fillId="0" borderId="69" xfId="1" applyFont="1" applyBorder="1" applyAlignment="1">
      <alignment horizontal="left" vertical="top"/>
    </xf>
    <xf numFmtId="9" fontId="15" fillId="0" borderId="36" xfId="1" applyFont="1" applyBorder="1" applyAlignment="1">
      <alignment horizontal="left" vertical="top"/>
    </xf>
    <xf numFmtId="0" fontId="15" fillId="0" borderId="36" xfId="0" applyFont="1" applyBorder="1" applyAlignment="1">
      <alignment horizontal="left" vertical="top"/>
    </xf>
    <xf numFmtId="0" fontId="23" fillId="8" borderId="77" xfId="0" applyFont="1" applyFill="1" applyBorder="1" applyAlignment="1">
      <alignment horizontal="left" vertical="top" wrapText="1"/>
    </xf>
    <xf numFmtId="9" fontId="15" fillId="0" borderId="78" xfId="1" applyFont="1" applyBorder="1" applyAlignment="1">
      <alignment horizontal="left" vertical="top" wrapText="1"/>
    </xf>
    <xf numFmtId="0" fontId="15" fillId="0" borderId="78" xfId="0" applyFont="1" applyBorder="1" applyAlignment="1">
      <alignment horizontal="left" vertical="top" wrapText="1"/>
    </xf>
    <xf numFmtId="9" fontId="15" fillId="0" borderId="35" xfId="1" applyFont="1" applyBorder="1" applyAlignment="1">
      <alignment horizontal="left" vertical="top" wrapText="1"/>
    </xf>
    <xf numFmtId="0" fontId="23" fillId="5" borderId="77" xfId="0" applyFont="1" applyFill="1" applyBorder="1" applyAlignment="1">
      <alignment horizontal="left" vertical="top" wrapText="1"/>
    </xf>
    <xf numFmtId="0" fontId="15" fillId="0" borderId="60" xfId="0" applyFont="1" applyBorder="1" applyAlignment="1">
      <alignment horizontal="left" vertical="top" wrapText="1"/>
    </xf>
    <xf numFmtId="0" fontId="23" fillId="5" borderId="79" xfId="0" applyFont="1" applyFill="1" applyBorder="1" applyAlignment="1">
      <alignment horizontal="left" vertical="top" wrapText="1"/>
    </xf>
    <xf numFmtId="0" fontId="23" fillId="8" borderId="79" xfId="0" applyFont="1" applyFill="1" applyBorder="1" applyAlignment="1">
      <alignment horizontal="left" vertical="top" wrapText="1"/>
    </xf>
    <xf numFmtId="0" fontId="23" fillId="8" borderId="64" xfId="0" applyFont="1" applyFill="1" applyBorder="1" applyAlignment="1">
      <alignment horizontal="left" vertical="top"/>
    </xf>
    <xf numFmtId="0" fontId="23" fillId="8" borderId="64" xfId="0" applyFont="1" applyFill="1" applyBorder="1" applyAlignment="1">
      <alignment horizontal="left" vertical="top" wrapText="1"/>
    </xf>
    <xf numFmtId="0" fontId="23" fillId="11" borderId="64" xfId="0" applyFont="1" applyFill="1" applyBorder="1" applyAlignment="1">
      <alignment horizontal="left" vertical="top" wrapText="1"/>
    </xf>
    <xf numFmtId="0" fontId="15" fillId="0" borderId="16" xfId="0" applyFont="1" applyBorder="1" applyAlignment="1">
      <alignment horizontal="left" vertical="top" wrapText="1"/>
    </xf>
    <xf numFmtId="15" fontId="15" fillId="0" borderId="16" xfId="0" applyNumberFormat="1" applyFont="1" applyBorder="1" applyAlignment="1">
      <alignment horizontal="left" vertical="top"/>
    </xf>
    <xf numFmtId="0" fontId="23" fillId="8" borderId="20" xfId="0" applyFont="1" applyFill="1" applyBorder="1" applyAlignment="1">
      <alignment horizontal="left" vertical="top"/>
    </xf>
    <xf numFmtId="0" fontId="15" fillId="0" borderId="15" xfId="0" applyFont="1" applyBorder="1" applyAlignment="1">
      <alignment horizontal="left" vertical="top" wrapText="1"/>
    </xf>
    <xf numFmtId="0" fontId="23" fillId="5" borderId="73" xfId="0" applyFont="1" applyFill="1" applyBorder="1" applyAlignment="1">
      <alignment horizontal="left" vertical="top"/>
    </xf>
    <xf numFmtId="0" fontId="23" fillId="5" borderId="73" xfId="0" applyFont="1" applyFill="1" applyBorder="1" applyAlignment="1">
      <alignment horizontal="left" vertical="top" wrapText="1"/>
    </xf>
    <xf numFmtId="0" fontId="23" fillId="5" borderId="20" xfId="0" applyFont="1" applyFill="1" applyBorder="1" applyAlignment="1">
      <alignment horizontal="left" vertical="top" wrapText="1"/>
    </xf>
    <xf numFmtId="0" fontId="23" fillId="11" borderId="73" xfId="0" applyFont="1" applyFill="1" applyBorder="1" applyAlignment="1">
      <alignment horizontal="left" vertical="top" wrapText="1"/>
    </xf>
    <xf numFmtId="9" fontId="15" fillId="0" borderId="14" xfId="1" applyFont="1" applyBorder="1" applyAlignment="1">
      <alignment horizontal="left" vertical="top"/>
    </xf>
    <xf numFmtId="0" fontId="23" fillId="11" borderId="77" xfId="0" applyFont="1" applyFill="1" applyBorder="1" applyAlignment="1">
      <alignment horizontal="left" vertical="top" wrapText="1"/>
    </xf>
    <xf numFmtId="9" fontId="15" fillId="0" borderId="21" xfId="1" applyFont="1" applyBorder="1" applyAlignment="1">
      <alignment vertical="top"/>
    </xf>
    <xf numFmtId="9" fontId="15" fillId="0" borderId="5" xfId="1" applyFont="1" applyBorder="1" applyAlignment="1">
      <alignment vertical="top" wrapText="1"/>
    </xf>
    <xf numFmtId="15" fontId="15" fillId="0" borderId="14" xfId="0" applyNumberFormat="1" applyFont="1" applyBorder="1" applyAlignment="1">
      <alignment horizontal="left" vertical="top"/>
    </xf>
    <xf numFmtId="15" fontId="15" fillId="0" borderId="35" xfId="0" applyNumberFormat="1" applyFont="1" applyBorder="1" applyAlignment="1">
      <alignment horizontal="left" vertical="top"/>
    </xf>
    <xf numFmtId="0" fontId="23" fillId="7" borderId="20" xfId="0" applyFont="1" applyFill="1" applyBorder="1" applyAlignment="1">
      <alignment horizontal="left" vertical="top" wrapText="1"/>
    </xf>
    <xf numFmtId="0" fontId="15" fillId="5" borderId="67" xfId="0" applyFont="1" applyFill="1" applyBorder="1" applyAlignment="1">
      <alignment horizontal="left" vertical="top" wrapText="1"/>
    </xf>
    <xf numFmtId="0" fontId="23" fillId="8" borderId="67" xfId="0" applyFont="1" applyFill="1" applyBorder="1" applyAlignment="1">
      <alignment horizontal="left" vertical="top" wrapText="1"/>
    </xf>
    <xf numFmtId="0" fontId="15" fillId="0" borderId="69" xfId="0" applyFont="1" applyBorder="1" applyAlignment="1">
      <alignment horizontal="left" vertical="top"/>
    </xf>
    <xf numFmtId="0" fontId="15" fillId="0" borderId="70" xfId="0" applyFont="1" applyBorder="1" applyAlignment="1">
      <alignment horizontal="left" vertical="top"/>
    </xf>
    <xf numFmtId="0" fontId="15" fillId="0" borderId="48" xfId="0" applyFont="1" applyBorder="1" applyAlignment="1">
      <alignment horizontal="left" vertical="top"/>
    </xf>
    <xf numFmtId="0" fontId="15" fillId="0" borderId="72" xfId="0" applyFont="1" applyBorder="1" applyAlignment="1">
      <alignment horizontal="left" vertical="top"/>
    </xf>
    <xf numFmtId="0" fontId="15" fillId="0" borderId="71" xfId="0" applyFont="1" applyBorder="1" applyAlignment="1">
      <alignment horizontal="left" vertical="top"/>
    </xf>
    <xf numFmtId="0" fontId="23" fillId="5" borderId="36" xfId="0" applyFont="1" applyFill="1" applyBorder="1" applyAlignment="1">
      <alignment horizontal="left" vertical="top" wrapText="1"/>
    </xf>
    <xf numFmtId="15" fontId="15" fillId="0" borderId="36" xfId="0" applyNumberFormat="1" applyFont="1" applyBorder="1" applyAlignment="1">
      <alignment horizontal="left" vertical="top"/>
    </xf>
    <xf numFmtId="0" fontId="23" fillId="8" borderId="52" xfId="0" applyFont="1" applyFill="1" applyBorder="1" applyAlignment="1">
      <alignment horizontal="left" vertical="top"/>
    </xf>
    <xf numFmtId="0" fontId="23" fillId="5" borderId="52" xfId="0" applyFont="1" applyFill="1" applyBorder="1" applyAlignment="1">
      <alignment horizontal="left" vertical="top" wrapText="1"/>
    </xf>
    <xf numFmtId="164" fontId="19" fillId="0" borderId="5" xfId="1" applyNumberFormat="1" applyFont="1" applyFill="1" applyBorder="1" applyAlignment="1">
      <alignment vertical="top"/>
    </xf>
    <xf numFmtId="0" fontId="19" fillId="0" borderId="0" xfId="0" applyFont="1" applyAlignment="1">
      <alignment horizontal="center"/>
    </xf>
    <xf numFmtId="0" fontId="23" fillId="11" borderId="5" xfId="0" applyFont="1" applyFill="1" applyBorder="1" applyAlignment="1">
      <alignment horizontal="left" vertical="top" wrapText="1"/>
    </xf>
    <xf numFmtId="0" fontId="28" fillId="0" borderId="5" xfId="0" applyFont="1" applyBorder="1" applyAlignment="1">
      <alignment horizontal="center" vertical="top" wrapText="1"/>
    </xf>
    <xf numFmtId="9" fontId="19" fillId="0" borderId="40" xfId="1" applyFont="1" applyBorder="1" applyAlignment="1">
      <alignment horizontal="center" vertical="top" wrapText="1"/>
    </xf>
    <xf numFmtId="0" fontId="23" fillId="8" borderId="20" xfId="0" applyFont="1" applyFill="1" applyBorder="1" applyAlignment="1">
      <alignment horizontal="left" vertical="top" wrapText="1"/>
    </xf>
    <xf numFmtId="0" fontId="23" fillId="11" borderId="20" xfId="0" applyFont="1" applyFill="1" applyBorder="1" applyAlignment="1">
      <alignment horizontal="left" vertical="top" wrapText="1"/>
    </xf>
    <xf numFmtId="0" fontId="27" fillId="0" borderId="0" xfId="0" applyFont="1" applyAlignment="1">
      <alignment horizontal="left" vertical="top" wrapText="1"/>
    </xf>
    <xf numFmtId="0" fontId="27" fillId="0" borderId="0" xfId="0" applyFont="1" applyAlignment="1">
      <alignment horizontal="left" wrapText="1"/>
    </xf>
    <xf numFmtId="0" fontId="23" fillId="5" borderId="64" xfId="0" applyFont="1" applyFill="1" applyBorder="1" applyAlignment="1">
      <alignment horizontal="left" vertical="top" wrapText="1"/>
    </xf>
    <xf numFmtId="0" fontId="23" fillId="5" borderId="16" xfId="0" applyFont="1" applyFill="1" applyBorder="1" applyAlignment="1">
      <alignment horizontal="left" vertical="top" wrapText="1"/>
    </xf>
    <xf numFmtId="0" fontId="15" fillId="0" borderId="16" xfId="0" applyFont="1" applyBorder="1" applyAlignment="1">
      <alignment vertical="top" wrapText="1"/>
    </xf>
    <xf numFmtId="0" fontId="19" fillId="0" borderId="16" xfId="0" applyFont="1" applyBorder="1" applyAlignment="1">
      <alignment horizontal="center" vertical="top" wrapText="1"/>
    </xf>
    <xf numFmtId="0" fontId="19" fillId="0" borderId="8" xfId="0" applyFont="1" applyBorder="1" applyAlignment="1">
      <alignment horizontal="center" vertical="top" wrapText="1"/>
    </xf>
    <xf numFmtId="0" fontId="19" fillId="0" borderId="16" xfId="0" applyFont="1" applyBorder="1" applyAlignment="1">
      <alignment horizontal="left" vertical="top" wrapText="1"/>
    </xf>
    <xf numFmtId="0" fontId="28" fillId="0" borderId="8" xfId="0" applyFont="1" applyBorder="1" applyAlignment="1">
      <alignment horizontal="left" vertical="top" wrapText="1"/>
    </xf>
    <xf numFmtId="0" fontId="28" fillId="0" borderId="16" xfId="0" applyFont="1" applyBorder="1" applyAlignment="1">
      <alignment horizontal="left" vertical="top" wrapText="1"/>
    </xf>
    <xf numFmtId="0" fontId="15" fillId="0" borderId="67" xfId="0" applyFont="1" applyBorder="1" applyAlignment="1">
      <alignment horizontal="left" vertical="top"/>
    </xf>
    <xf numFmtId="0" fontId="21" fillId="0" borderId="36" xfId="0" applyFont="1" applyBorder="1" applyAlignment="1">
      <alignment horizontal="center" vertical="top" wrapText="1"/>
    </xf>
    <xf numFmtId="0" fontId="19" fillId="0" borderId="36" xfId="0" applyFont="1" applyBorder="1" applyAlignment="1">
      <alignment horizontal="center" vertical="top" wrapText="1"/>
    </xf>
    <xf numFmtId="0" fontId="19" fillId="0" borderId="104" xfId="0" applyFont="1" applyBorder="1" applyAlignment="1">
      <alignment horizontal="center" vertical="top" wrapText="1"/>
    </xf>
    <xf numFmtId="0" fontId="19" fillId="0" borderId="36" xfId="0" applyFont="1" applyBorder="1" applyAlignment="1">
      <alignment horizontal="left" vertical="top" wrapText="1"/>
    </xf>
    <xf numFmtId="9" fontId="2" fillId="4" borderId="5" xfId="0" applyNumberFormat="1" applyFont="1" applyFill="1" applyBorder="1" applyAlignment="1">
      <alignment horizontal="center" vertical="top"/>
    </xf>
    <xf numFmtId="9" fontId="2" fillId="8" borderId="5" xfId="0" applyNumberFormat="1" applyFont="1" applyFill="1" applyBorder="1" applyAlignment="1">
      <alignment horizontal="center" vertical="top"/>
    </xf>
    <xf numFmtId="0" fontId="23" fillId="8" borderId="73" xfId="0" applyFont="1" applyFill="1" applyBorder="1" applyAlignment="1">
      <alignment horizontal="left" vertical="top" wrapText="1"/>
    </xf>
    <xf numFmtId="9" fontId="38" fillId="13" borderId="53" xfId="1" applyFont="1" applyFill="1" applyBorder="1" applyAlignment="1">
      <alignment horizontal="center" vertical="top"/>
    </xf>
    <xf numFmtId="9" fontId="38" fillId="11" borderId="93" xfId="1" applyFont="1" applyFill="1" applyBorder="1" applyAlignment="1">
      <alignment horizontal="center" vertical="top"/>
    </xf>
    <xf numFmtId="9" fontId="38" fillId="5" borderId="54" xfId="1" applyFont="1" applyFill="1" applyBorder="1" applyAlignment="1">
      <alignment horizontal="center" vertical="top"/>
    </xf>
    <xf numFmtId="9" fontId="19" fillId="0" borderId="14" xfId="1" applyFont="1" applyBorder="1" applyAlignment="1">
      <alignment horizontal="left" vertical="top" wrapText="1"/>
    </xf>
    <xf numFmtId="9" fontId="19" fillId="0" borderId="74" xfId="0" applyNumberFormat="1" applyFont="1" applyBorder="1" applyAlignment="1">
      <alignment horizontal="center" vertical="top"/>
    </xf>
    <xf numFmtId="0" fontId="19" fillId="0" borderId="0" xfId="0" applyFont="1" applyAlignment="1">
      <alignment horizontal="center" vertical="top"/>
    </xf>
    <xf numFmtId="0" fontId="18" fillId="0" borderId="25" xfId="0" applyFont="1" applyBorder="1" applyAlignment="1">
      <alignment horizontal="center" vertical="top"/>
    </xf>
    <xf numFmtId="9" fontId="19" fillId="0" borderId="69" xfId="1" applyFont="1" applyBorder="1" applyAlignment="1">
      <alignment horizontal="center" vertical="top"/>
    </xf>
    <xf numFmtId="9" fontId="19" fillId="0" borderId="78" xfId="1" applyFont="1" applyBorder="1" applyAlignment="1">
      <alignment horizontal="center" vertical="top" wrapText="1"/>
    </xf>
    <xf numFmtId="9" fontId="19" fillId="0" borderId="78" xfId="1" applyFont="1" applyBorder="1" applyAlignment="1">
      <alignment horizontal="center" vertical="top"/>
    </xf>
    <xf numFmtId="9" fontId="19" fillId="0" borderId="80" xfId="1" applyFont="1" applyBorder="1" applyAlignment="1">
      <alignment horizontal="center" vertical="top"/>
    </xf>
    <xf numFmtId="9" fontId="19" fillId="0" borderId="65" xfId="0" applyNumberFormat="1" applyFont="1" applyBorder="1" applyAlignment="1">
      <alignment horizontal="center" vertical="top"/>
    </xf>
    <xf numFmtId="9" fontId="19" fillId="0" borderId="21" xfId="1" applyFont="1" applyBorder="1" applyAlignment="1">
      <alignment horizontal="center" vertical="top"/>
    </xf>
    <xf numFmtId="9" fontId="19" fillId="0" borderId="65" xfId="1" applyFont="1" applyBorder="1" applyAlignment="1">
      <alignment horizontal="center" vertical="top"/>
    </xf>
    <xf numFmtId="9" fontId="19" fillId="0" borderId="74" xfId="1" applyFont="1" applyBorder="1" applyAlignment="1">
      <alignment horizontal="center" vertical="top"/>
    </xf>
    <xf numFmtId="0" fontId="19" fillId="0" borderId="78" xfId="0" applyFont="1" applyBorder="1" applyAlignment="1">
      <alignment horizontal="center" vertical="top"/>
    </xf>
    <xf numFmtId="9" fontId="19" fillId="0" borderId="21" xfId="0" applyNumberFormat="1" applyFont="1" applyBorder="1" applyAlignment="1">
      <alignment horizontal="center" vertical="top"/>
    </xf>
    <xf numFmtId="9" fontId="19" fillId="0" borderId="16" xfId="1" applyFont="1" applyBorder="1" applyAlignment="1">
      <alignment horizontal="center" vertical="top"/>
    </xf>
    <xf numFmtId="9" fontId="19" fillId="0" borderId="69" xfId="0" applyNumberFormat="1" applyFont="1" applyBorder="1" applyAlignment="1">
      <alignment horizontal="center" vertical="top"/>
    </xf>
    <xf numFmtId="9" fontId="19" fillId="0" borderId="36" xfId="1" applyFont="1" applyBorder="1" applyAlignment="1">
      <alignment horizontal="center" vertical="top"/>
    </xf>
    <xf numFmtId="9" fontId="19" fillId="0" borderId="54" xfId="1" applyFont="1" applyBorder="1" applyAlignment="1">
      <alignment horizontal="center" vertical="top"/>
    </xf>
    <xf numFmtId="0" fontId="43" fillId="0" borderId="0" xfId="0" applyFont="1" applyAlignment="1">
      <alignment horizontal="left" vertical="center"/>
    </xf>
    <xf numFmtId="0" fontId="15" fillId="10" borderId="0" xfId="0" applyFont="1" applyFill="1" applyAlignment="1">
      <alignment vertical="top"/>
    </xf>
    <xf numFmtId="0" fontId="25" fillId="6" borderId="5" xfId="0" applyFont="1" applyFill="1" applyBorder="1" applyAlignment="1">
      <alignment vertical="top" wrapText="1"/>
    </xf>
    <xf numFmtId="0" fontId="26" fillId="0" borderId="0" xfId="0" applyFont="1" applyAlignment="1">
      <alignment horizontal="left"/>
    </xf>
    <xf numFmtId="0" fontId="25" fillId="0" borderId="0" xfId="0" applyFont="1" applyAlignment="1">
      <alignment horizontal="left"/>
    </xf>
    <xf numFmtId="0" fontId="25" fillId="6" borderId="36" xfId="0" applyFont="1" applyFill="1" applyBorder="1" applyAlignment="1">
      <alignment horizontal="left" vertical="top" wrapText="1"/>
    </xf>
    <xf numFmtId="0" fontId="25" fillId="6" borderId="16" xfId="0" applyFont="1" applyFill="1" applyBorder="1" applyAlignment="1">
      <alignment horizontal="left" vertical="top" wrapText="1"/>
    </xf>
    <xf numFmtId="0" fontId="25" fillId="6" borderId="14" xfId="0" applyFont="1" applyFill="1" applyBorder="1" applyAlignment="1">
      <alignment horizontal="left" vertical="top" wrapText="1"/>
    </xf>
    <xf numFmtId="0" fontId="25" fillId="6" borderId="60" xfId="0" applyFont="1" applyFill="1" applyBorder="1" applyAlignment="1">
      <alignment horizontal="left" vertical="top" wrapText="1"/>
    </xf>
    <xf numFmtId="0" fontId="25" fillId="6" borderId="35" xfId="0" applyFont="1" applyFill="1" applyBorder="1" applyAlignment="1">
      <alignment horizontal="left" vertical="top" wrapText="1"/>
    </xf>
    <xf numFmtId="0" fontId="25" fillId="6" borderId="45" xfId="0" applyFont="1" applyFill="1" applyBorder="1" applyAlignment="1">
      <alignment horizontal="left" vertical="top" wrapText="1"/>
    </xf>
    <xf numFmtId="0" fontId="19" fillId="10" borderId="0" xfId="0" applyFont="1" applyFill="1" applyAlignment="1">
      <alignment horizontal="left" vertical="top"/>
    </xf>
    <xf numFmtId="9" fontId="19" fillId="0" borderId="65" xfId="1" applyFont="1" applyBorder="1" applyAlignment="1">
      <alignment vertical="top" wrapText="1"/>
    </xf>
    <xf numFmtId="9" fontId="19" fillId="0" borderId="69" xfId="1" applyFont="1" applyBorder="1" applyAlignment="1">
      <alignment vertical="top" wrapText="1"/>
    </xf>
    <xf numFmtId="0" fontId="25" fillId="6" borderId="46" xfId="0" applyFont="1" applyFill="1" applyBorder="1" applyAlignment="1">
      <alignment horizontal="left" vertical="top" wrapText="1"/>
    </xf>
    <xf numFmtId="0" fontId="18" fillId="7" borderId="46" xfId="0" applyFont="1" applyFill="1" applyBorder="1" applyAlignment="1">
      <alignment horizontal="left" vertical="top" wrapText="1"/>
    </xf>
    <xf numFmtId="0" fontId="18" fillId="8" borderId="36" xfId="0" applyFont="1" applyFill="1" applyBorder="1" applyAlignment="1">
      <alignment horizontal="left" vertical="top" wrapText="1"/>
    </xf>
    <xf numFmtId="0" fontId="18" fillId="8" borderId="16" xfId="0" applyFont="1" applyFill="1" applyBorder="1" applyAlignment="1">
      <alignment horizontal="left" vertical="top" wrapText="1"/>
    </xf>
    <xf numFmtId="0" fontId="18" fillId="8" borderId="5" xfId="0" applyFont="1" applyFill="1" applyBorder="1" applyAlignment="1">
      <alignment horizontal="left" vertical="top" wrapText="1"/>
    </xf>
    <xf numFmtId="0" fontId="18" fillId="8" borderId="48" xfId="0" applyFont="1" applyFill="1" applyBorder="1" applyAlignment="1">
      <alignment horizontal="left" vertical="top" wrapText="1"/>
    </xf>
    <xf numFmtId="0" fontId="18" fillId="8" borderId="14" xfId="0" applyFont="1" applyFill="1" applyBorder="1" applyAlignment="1">
      <alignment horizontal="left" vertical="top" wrapText="1"/>
    </xf>
    <xf numFmtId="0" fontId="18" fillId="8" borderId="62" xfId="0" applyFont="1" applyFill="1" applyBorder="1" applyAlignment="1">
      <alignment horizontal="left" vertical="top" wrapText="1"/>
    </xf>
    <xf numFmtId="0" fontId="18" fillId="8" borderId="60" xfId="0" applyFont="1" applyFill="1" applyBorder="1" applyAlignment="1">
      <alignment horizontal="left" vertical="top" wrapText="1"/>
    </xf>
    <xf numFmtId="0" fontId="18" fillId="8" borderId="35" xfId="0" applyFont="1" applyFill="1" applyBorder="1" applyAlignment="1">
      <alignment horizontal="left" vertical="top" wrapText="1"/>
    </xf>
    <xf numFmtId="0" fontId="18" fillId="8" borderId="45" xfId="0" applyFont="1" applyFill="1" applyBorder="1" applyAlignment="1">
      <alignment horizontal="left" vertical="top" wrapText="1"/>
    </xf>
    <xf numFmtId="0" fontId="15" fillId="8" borderId="51" xfId="0" applyFont="1" applyFill="1" applyBorder="1" applyAlignment="1">
      <alignment horizontal="left" vertical="top" wrapText="1"/>
    </xf>
    <xf numFmtId="0" fontId="25" fillId="6" borderId="15" xfId="0" applyFont="1" applyFill="1" applyBorder="1" applyAlignment="1">
      <alignment horizontal="left" vertical="top" wrapText="1"/>
    </xf>
    <xf numFmtId="0" fontId="18" fillId="4" borderId="5" xfId="0" applyFont="1" applyFill="1" applyBorder="1" applyAlignment="1">
      <alignment horizontal="center" vertical="top" wrapText="1"/>
    </xf>
    <xf numFmtId="0" fontId="18" fillId="4" borderId="14" xfId="0" applyFont="1" applyFill="1" applyBorder="1" applyAlignment="1">
      <alignment horizontal="center" vertical="top" wrapText="1"/>
    </xf>
    <xf numFmtId="0" fontId="18" fillId="4" borderId="35" xfId="0" applyFont="1" applyFill="1" applyBorder="1" applyAlignment="1">
      <alignment horizontal="center" vertical="top" wrapText="1"/>
    </xf>
    <xf numFmtId="0" fontId="18" fillId="4" borderId="35" xfId="0" applyFont="1" applyFill="1" applyBorder="1" applyAlignment="1">
      <alignment horizontal="left" vertical="top" wrapText="1"/>
    </xf>
    <xf numFmtId="0" fontId="18" fillId="4" borderId="15" xfId="0" applyFont="1" applyFill="1" applyBorder="1" applyAlignment="1">
      <alignment horizontal="center" vertical="top" wrapText="1"/>
    </xf>
    <xf numFmtId="0" fontId="18" fillId="4" borderId="16" xfId="0" applyFont="1" applyFill="1" applyBorder="1" applyAlignment="1">
      <alignment horizontal="center" vertical="top" wrapText="1"/>
    </xf>
    <xf numFmtId="0" fontId="18" fillId="4" borderId="16" xfId="0" applyFont="1" applyFill="1" applyBorder="1" applyAlignment="1">
      <alignment horizontal="left" vertical="top" wrapText="1"/>
    </xf>
    <xf numFmtId="0" fontId="18" fillId="4" borderId="36" xfId="0" applyFont="1" applyFill="1" applyBorder="1" applyAlignment="1">
      <alignment horizontal="center" vertical="top" wrapText="1"/>
    </xf>
    <xf numFmtId="0" fontId="18" fillId="4" borderId="36" xfId="0" applyFont="1" applyFill="1" applyBorder="1" applyAlignment="1">
      <alignment horizontal="left" vertical="top" wrapText="1"/>
    </xf>
    <xf numFmtId="0" fontId="18" fillId="4" borderId="14" xfId="0" applyFont="1" applyFill="1" applyBorder="1" applyAlignment="1">
      <alignment vertical="top" wrapText="1"/>
    </xf>
    <xf numFmtId="9" fontId="18" fillId="4" borderId="5" xfId="0" applyNumberFormat="1" applyFont="1" applyFill="1" applyBorder="1" applyAlignment="1">
      <alignment horizontal="center" vertical="top" wrapText="1"/>
    </xf>
    <xf numFmtId="0" fontId="18" fillId="4" borderId="46" xfId="0" applyFont="1" applyFill="1" applyBorder="1" applyAlignment="1">
      <alignment horizontal="center" vertical="top" wrapText="1"/>
    </xf>
    <xf numFmtId="0" fontId="18" fillId="4" borderId="46" xfId="0" applyFont="1" applyFill="1" applyBorder="1" applyAlignment="1">
      <alignment horizontal="left" vertical="top" wrapText="1"/>
    </xf>
    <xf numFmtId="15" fontId="57" fillId="0" borderId="0" xfId="0" applyNumberFormat="1" applyFont="1" applyAlignment="1">
      <alignment horizontal="left" vertical="center"/>
    </xf>
    <xf numFmtId="0" fontId="23" fillId="0" borderId="0" xfId="0" applyFont="1" applyAlignment="1">
      <alignment horizontal="left" vertical="top" wrapText="1"/>
    </xf>
    <xf numFmtId="0" fontId="18" fillId="0" borderId="0" xfId="0" applyFont="1" applyAlignment="1">
      <alignment horizontal="left" vertical="top" wrapText="1"/>
    </xf>
    <xf numFmtId="0" fontId="44" fillId="10" borderId="73" xfId="0" applyFont="1" applyFill="1" applyBorder="1" applyAlignment="1">
      <alignment horizontal="left"/>
    </xf>
    <xf numFmtId="0" fontId="44" fillId="10" borderId="0" xfId="0" applyFont="1" applyFill="1" applyAlignment="1">
      <alignment horizontal="left"/>
    </xf>
    <xf numFmtId="0" fontId="41" fillId="0" borderId="0" xfId="0" applyFont="1" applyAlignment="1">
      <alignment horizontal="left" vertical="center" wrapText="1"/>
    </xf>
    <xf numFmtId="0" fontId="43" fillId="0" borderId="0" xfId="0" applyFont="1" applyAlignment="1">
      <alignment horizontal="left" vertical="center"/>
    </xf>
    <xf numFmtId="0" fontId="3" fillId="0" borderId="22" xfId="0" applyFont="1" applyBorder="1" applyAlignment="1">
      <alignment vertical="top"/>
    </xf>
    <xf numFmtId="0" fontId="3" fillId="0" borderId="5" xfId="0" applyFont="1" applyBorder="1" applyAlignment="1">
      <alignment vertical="top"/>
    </xf>
    <xf numFmtId="0" fontId="3" fillId="4" borderId="22" xfId="0" applyFont="1" applyFill="1" applyBorder="1" applyAlignment="1">
      <alignment vertical="top" wrapText="1"/>
    </xf>
    <xf numFmtId="0" fontId="3" fillId="4" borderId="5" xfId="0" applyFont="1" applyFill="1" applyBorder="1" applyAlignment="1">
      <alignment vertical="top" wrapText="1"/>
    </xf>
    <xf numFmtId="0" fontId="3" fillId="16" borderId="22" xfId="0" applyFont="1" applyFill="1" applyBorder="1" applyAlignment="1">
      <alignment vertical="top" wrapText="1"/>
    </xf>
    <xf numFmtId="0" fontId="3" fillId="16" borderId="5" xfId="0" applyFont="1" applyFill="1" applyBorder="1" applyAlignment="1">
      <alignment vertical="top" wrapText="1"/>
    </xf>
    <xf numFmtId="0" fontId="3" fillId="8" borderId="22" xfId="0" applyFont="1" applyFill="1" applyBorder="1" applyAlignment="1">
      <alignment vertical="top" wrapText="1"/>
    </xf>
    <xf numFmtId="0" fontId="3" fillId="8" borderId="5" xfId="0" applyFont="1" applyFill="1" applyBorder="1" applyAlignment="1">
      <alignment vertical="top" wrapText="1"/>
    </xf>
    <xf numFmtId="0" fontId="3" fillId="17" borderId="22" xfId="0" applyFont="1" applyFill="1" applyBorder="1" applyAlignment="1">
      <alignment vertical="top" wrapText="1"/>
    </xf>
    <xf numFmtId="0" fontId="3" fillId="17" borderId="5" xfId="0" applyFont="1" applyFill="1" applyBorder="1" applyAlignment="1">
      <alignment vertical="top" wrapText="1"/>
    </xf>
    <xf numFmtId="0" fontId="45" fillId="0" borderId="20" xfId="0" applyFont="1" applyBorder="1"/>
    <xf numFmtId="0" fontId="45" fillId="0" borderId="13" xfId="0" applyFont="1" applyBorder="1"/>
    <xf numFmtId="0" fontId="34" fillId="15" borderId="17" xfId="0" applyFont="1" applyFill="1" applyBorder="1" applyAlignment="1">
      <alignment horizontal="left"/>
    </xf>
    <xf numFmtId="0" fontId="34" fillId="15" borderId="18" xfId="0" applyFont="1" applyFill="1" applyBorder="1" applyAlignment="1">
      <alignment horizontal="left"/>
    </xf>
    <xf numFmtId="0" fontId="41" fillId="0" borderId="97" xfId="0" applyFont="1" applyBorder="1" applyAlignment="1">
      <alignment horizontal="left" vertical="top" wrapText="1"/>
    </xf>
    <xf numFmtId="0" fontId="41" fillId="0" borderId="98" xfId="0" applyFont="1" applyBorder="1" applyAlignment="1">
      <alignment horizontal="left" vertical="top" wrapText="1"/>
    </xf>
    <xf numFmtId="0" fontId="41" fillId="0" borderId="99" xfId="0" applyFont="1" applyBorder="1" applyAlignment="1">
      <alignment horizontal="left" vertical="top" wrapText="1"/>
    </xf>
    <xf numFmtId="0" fontId="41" fillId="0" borderId="73" xfId="0" applyFont="1" applyBorder="1" applyAlignment="1">
      <alignment horizontal="left" vertical="top" wrapText="1"/>
    </xf>
    <xf numFmtId="0" fontId="41" fillId="0" borderId="0" xfId="0" applyFont="1" applyAlignment="1">
      <alignment horizontal="left" vertical="top" wrapText="1"/>
    </xf>
    <xf numFmtId="0" fontId="41" fillId="0" borderId="74" xfId="0" applyFont="1" applyBorder="1" applyAlignment="1">
      <alignment horizontal="left" vertical="top" wrapText="1"/>
    </xf>
    <xf numFmtId="0" fontId="41" fillId="0" borderId="100" xfId="0" applyFont="1" applyBorder="1" applyAlignment="1">
      <alignment horizontal="left" vertical="top" wrapText="1"/>
    </xf>
    <xf numFmtId="0" fontId="41" fillId="0" borderId="101" xfId="0" applyFont="1" applyBorder="1" applyAlignment="1">
      <alignment horizontal="left" vertical="top" wrapText="1"/>
    </xf>
    <xf numFmtId="0" fontId="41" fillId="0" borderId="55" xfId="0" applyFont="1" applyBorder="1" applyAlignment="1">
      <alignment horizontal="left" vertical="top" wrapText="1"/>
    </xf>
    <xf numFmtId="0" fontId="3" fillId="17" borderId="51" xfId="0" applyFont="1" applyFill="1" applyBorder="1" applyAlignment="1">
      <alignment vertical="top" wrapText="1"/>
    </xf>
    <xf numFmtId="0" fontId="3" fillId="17" borderId="46" xfId="0" applyFont="1" applyFill="1" applyBorder="1" applyAlignment="1">
      <alignment vertical="top" wrapText="1"/>
    </xf>
    <xf numFmtId="1" fontId="3" fillId="15" borderId="6" xfId="2" applyNumberFormat="1" applyFont="1" applyFill="1" applyBorder="1" applyAlignment="1">
      <alignment horizontal="center" vertical="top" wrapText="1"/>
    </xf>
    <xf numFmtId="1" fontId="3" fillId="15" borderId="76" xfId="2" applyNumberFormat="1" applyFont="1" applyFill="1" applyBorder="1" applyAlignment="1">
      <alignment horizontal="center" vertical="top" wrapText="1"/>
    </xf>
    <xf numFmtId="1" fontId="3" fillId="15" borderId="23" xfId="2" applyNumberFormat="1" applyFont="1" applyFill="1" applyBorder="1" applyAlignment="1">
      <alignment horizontal="center" vertical="top" wrapText="1"/>
    </xf>
    <xf numFmtId="0" fontId="34" fillId="18" borderId="97" xfId="0" applyFont="1" applyFill="1" applyBorder="1" applyAlignment="1">
      <alignment horizontal="left"/>
    </xf>
    <xf numFmtId="0" fontId="34" fillId="18" borderId="98" xfId="0" applyFont="1" applyFill="1" applyBorder="1" applyAlignment="1">
      <alignment horizontal="left"/>
    </xf>
    <xf numFmtId="0" fontId="32" fillId="5" borderId="97" xfId="0" applyFont="1" applyFill="1" applyBorder="1" applyAlignment="1">
      <alignment horizontal="left" vertical="top" wrapText="1"/>
    </xf>
    <xf numFmtId="0" fontId="32" fillId="5" borderId="98" xfId="0" applyFont="1" applyFill="1" applyBorder="1" applyAlignment="1">
      <alignment horizontal="left" vertical="top" wrapText="1"/>
    </xf>
    <xf numFmtId="0" fontId="32" fillId="5" borderId="99" xfId="0" applyFont="1" applyFill="1" applyBorder="1" applyAlignment="1">
      <alignment horizontal="left" vertical="top" wrapText="1"/>
    </xf>
    <xf numFmtId="0" fontId="32" fillId="5" borderId="73" xfId="0" applyFont="1" applyFill="1" applyBorder="1" applyAlignment="1">
      <alignment horizontal="left" vertical="top" wrapText="1"/>
    </xf>
    <xf numFmtId="0" fontId="32" fillId="5" borderId="0" xfId="0" applyFont="1" applyFill="1" applyAlignment="1">
      <alignment horizontal="left" vertical="top" wrapText="1"/>
    </xf>
    <xf numFmtId="0" fontId="32" fillId="5" borderId="74" xfId="0" applyFont="1" applyFill="1" applyBorder="1" applyAlignment="1">
      <alignment horizontal="left" vertical="top" wrapText="1"/>
    </xf>
    <xf numFmtId="0" fontId="32" fillId="5" borderId="100" xfId="0" applyFont="1" applyFill="1" applyBorder="1" applyAlignment="1">
      <alignment horizontal="left" vertical="top" wrapText="1"/>
    </xf>
    <xf numFmtId="0" fontId="32" fillId="5" borderId="101" xfId="0" applyFont="1" applyFill="1" applyBorder="1" applyAlignment="1">
      <alignment horizontal="left" vertical="top" wrapText="1"/>
    </xf>
    <xf numFmtId="0" fontId="32" fillId="5" borderId="55" xfId="0" applyFont="1" applyFill="1" applyBorder="1" applyAlignment="1">
      <alignment horizontal="left" vertical="top" wrapText="1"/>
    </xf>
    <xf numFmtId="0" fontId="3" fillId="15" borderId="24" xfId="0" applyFont="1" applyFill="1" applyBorder="1" applyAlignment="1">
      <alignment vertical="top" wrapText="1"/>
    </xf>
    <xf numFmtId="0" fontId="3" fillId="15" borderId="14" xfId="0" applyFont="1" applyFill="1" applyBorder="1" applyAlignment="1">
      <alignment vertical="top" wrapText="1"/>
    </xf>
    <xf numFmtId="0" fontId="2" fillId="7" borderId="17" xfId="0" applyFont="1" applyFill="1" applyBorder="1" applyAlignment="1">
      <alignment horizontal="left" vertical="top" wrapText="1" indent="5"/>
    </xf>
    <xf numFmtId="0" fontId="2" fillId="7" borderId="18" xfId="0" applyFont="1" applyFill="1" applyBorder="1" applyAlignment="1">
      <alignment horizontal="left" vertical="top" wrapText="1" indent="5"/>
    </xf>
    <xf numFmtId="0" fontId="3" fillId="8" borderId="51" xfId="0" applyFont="1" applyFill="1" applyBorder="1" applyAlignment="1">
      <alignment horizontal="left" vertical="top" wrapText="1" indent="5"/>
    </xf>
    <xf numFmtId="0" fontId="3" fillId="8" borderId="46" xfId="0" applyFont="1" applyFill="1" applyBorder="1" applyAlignment="1">
      <alignment horizontal="left" vertical="top" wrapText="1" indent="5"/>
    </xf>
    <xf numFmtId="10" fontId="31" fillId="0" borderId="12" xfId="0" applyNumberFormat="1" applyFont="1" applyBorder="1" applyAlignment="1">
      <alignment horizontal="center"/>
    </xf>
    <xf numFmtId="10" fontId="31" fillId="0" borderId="11" xfId="0" applyNumberFormat="1" applyFont="1" applyBorder="1" applyAlignment="1">
      <alignment horizontal="center"/>
    </xf>
    <xf numFmtId="0" fontId="2" fillId="11" borderId="66" xfId="0" applyFont="1" applyFill="1" applyBorder="1" applyAlignment="1">
      <alignment horizontal="left" vertical="top" wrapText="1" indent="5"/>
    </xf>
    <xf numFmtId="0" fontId="2" fillId="11" borderId="16" xfId="0" applyFont="1" applyFill="1" applyBorder="1" applyAlignment="1">
      <alignment horizontal="left" vertical="top" wrapText="1" indent="5"/>
    </xf>
    <xf numFmtId="0" fontId="2" fillId="5" borderId="51" xfId="0" applyFont="1" applyFill="1" applyBorder="1" applyAlignment="1">
      <alignment horizontal="left" vertical="top" wrapText="1" indent="5"/>
    </xf>
    <xf numFmtId="0" fontId="2" fillId="5" borderId="46" xfId="0" applyFont="1" applyFill="1" applyBorder="1" applyAlignment="1">
      <alignment horizontal="left" vertical="top" wrapText="1" indent="5"/>
    </xf>
    <xf numFmtId="0" fontId="5" fillId="0" borderId="24" xfId="0" applyFont="1" applyBorder="1" applyAlignment="1">
      <alignment horizontal="left" vertical="top" wrapText="1"/>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3" fillId="0" borderId="32" xfId="0" applyFont="1" applyBorder="1" applyAlignment="1">
      <alignment horizontal="left" vertical="top" wrapText="1"/>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0" fontId="11" fillId="2" borderId="17" xfId="0" applyFont="1" applyFill="1" applyBorder="1" applyAlignment="1">
      <alignment horizontal="left" vertical="center" wrapText="1"/>
    </xf>
    <xf numFmtId="0" fontId="11" fillId="2" borderId="1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6" fillId="0" borderId="6" xfId="0" applyFont="1" applyBorder="1" applyAlignment="1">
      <alignment horizontal="left" vertical="top" wrapText="1"/>
    </xf>
    <xf numFmtId="0" fontId="6" fillId="0" borderId="23" xfId="0" applyFont="1" applyBorder="1" applyAlignment="1">
      <alignment horizontal="left" vertical="top" wrapText="1"/>
    </xf>
    <xf numFmtId="0" fontId="11" fillId="3" borderId="20"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7" fillId="0" borderId="11" xfId="0" applyFont="1" applyBorder="1" applyAlignment="1">
      <alignment horizontal="left" vertical="center" wrapText="1"/>
    </xf>
    <xf numFmtId="0" fontId="7" fillId="0" borderId="21" xfId="0" applyFont="1" applyBorder="1" applyAlignment="1">
      <alignment horizontal="left" vertical="center" wrapText="1"/>
    </xf>
    <xf numFmtId="0" fontId="16" fillId="10" borderId="37" xfId="0" applyFont="1" applyFill="1" applyBorder="1" applyAlignment="1">
      <alignment horizontal="left" vertical="top"/>
    </xf>
    <xf numFmtId="0" fontId="16" fillId="10" borderId="38" xfId="0" applyFont="1" applyFill="1" applyBorder="1" applyAlignment="1">
      <alignment horizontal="left" vertical="top"/>
    </xf>
    <xf numFmtId="0" fontId="12" fillId="3" borderId="22" xfId="0" applyFont="1" applyFill="1" applyBorder="1" applyAlignment="1">
      <alignment horizontal="left" vertical="top" wrapText="1"/>
    </xf>
    <xf numFmtId="0" fontId="12" fillId="3" borderId="5" xfId="0" applyFont="1" applyFill="1" applyBorder="1" applyAlignment="1">
      <alignment horizontal="left" vertical="top" wrapText="1"/>
    </xf>
    <xf numFmtId="0" fontId="12" fillId="3" borderId="6" xfId="0" applyFont="1" applyFill="1" applyBorder="1" applyAlignment="1">
      <alignment horizontal="left" vertical="top" wrapText="1"/>
    </xf>
    <xf numFmtId="0" fontId="12" fillId="3" borderId="7" xfId="0" applyFont="1" applyFill="1" applyBorder="1" applyAlignment="1">
      <alignment horizontal="left" vertical="top" wrapText="1"/>
    </xf>
    <xf numFmtId="0" fontId="12" fillId="3" borderId="8" xfId="0" applyFont="1" applyFill="1" applyBorder="1" applyAlignment="1">
      <alignment horizontal="left" vertical="top" wrapText="1"/>
    </xf>
    <xf numFmtId="0" fontId="12" fillId="3" borderId="10" xfId="0" applyFont="1" applyFill="1" applyBorder="1" applyAlignment="1">
      <alignment horizontal="left" vertical="top" wrapText="1"/>
    </xf>
    <xf numFmtId="0" fontId="12" fillId="3" borderId="6" xfId="0" applyFont="1" applyFill="1" applyBorder="1" applyAlignment="1">
      <alignment horizontal="center" vertical="top" wrapText="1"/>
    </xf>
    <xf numFmtId="0" fontId="12" fillId="3" borderId="7" xfId="0" applyFont="1" applyFill="1" applyBorder="1" applyAlignment="1">
      <alignment horizontal="center" vertical="top" wrapText="1"/>
    </xf>
    <xf numFmtId="0" fontId="12" fillId="3" borderId="8" xfId="0" applyFont="1" applyFill="1" applyBorder="1" applyAlignment="1">
      <alignment horizontal="center" vertical="top" wrapText="1"/>
    </xf>
    <xf numFmtId="0" fontId="12" fillId="3" borderId="10" xfId="0" applyFont="1" applyFill="1" applyBorder="1" applyAlignment="1">
      <alignment horizontal="center" vertical="top" wrapText="1"/>
    </xf>
    <xf numFmtId="0" fontId="23" fillId="12" borderId="20" xfId="0" applyFont="1" applyFill="1" applyBorder="1" applyAlignment="1">
      <alignment horizontal="center" vertical="top" wrapText="1"/>
    </xf>
    <xf numFmtId="0" fontId="23" fillId="12" borderId="12" xfId="0" applyFont="1" applyFill="1" applyBorder="1" applyAlignment="1">
      <alignment horizontal="center" vertical="top" wrapText="1"/>
    </xf>
    <xf numFmtId="0" fontId="23" fillId="12" borderId="13" xfId="0" applyFont="1" applyFill="1" applyBorder="1" applyAlignment="1">
      <alignment horizontal="center" vertical="top" wrapText="1"/>
    </xf>
    <xf numFmtId="0" fontId="13" fillId="4" borderId="24" xfId="0" applyFont="1" applyFill="1" applyBorder="1" applyAlignment="1">
      <alignment horizontal="left" vertical="top" wrapText="1"/>
    </xf>
    <xf numFmtId="0" fontId="13" fillId="4" borderId="26" xfId="0" applyFont="1" applyFill="1" applyBorder="1" applyAlignment="1">
      <alignment horizontal="left" vertical="top" wrapText="1"/>
    </xf>
    <xf numFmtId="0" fontId="13" fillId="4" borderId="27" xfId="0" applyFont="1" applyFill="1" applyBorder="1" applyAlignment="1">
      <alignment horizontal="left" vertical="top" wrapText="1"/>
    </xf>
    <xf numFmtId="0" fontId="17" fillId="6" borderId="14" xfId="0" applyFont="1" applyFill="1" applyBorder="1" applyAlignment="1">
      <alignment horizontal="left" vertical="top" wrapText="1"/>
    </xf>
    <xf numFmtId="0" fontId="17" fillId="6" borderId="15" xfId="0" applyFont="1" applyFill="1" applyBorder="1" applyAlignment="1">
      <alignment horizontal="left" vertical="top" wrapText="1"/>
    </xf>
    <xf numFmtId="0" fontId="17" fillId="6" borderId="16" xfId="0" applyFont="1" applyFill="1" applyBorder="1" applyAlignment="1">
      <alignment horizontal="left" vertical="top" wrapText="1"/>
    </xf>
    <xf numFmtId="0" fontId="13" fillId="6" borderId="14" xfId="0" applyFont="1" applyFill="1" applyBorder="1" applyAlignment="1">
      <alignment horizontal="left" vertical="top" wrapText="1"/>
    </xf>
    <xf numFmtId="0" fontId="13" fillId="6" borderId="15" xfId="0" applyFont="1" applyFill="1" applyBorder="1" applyAlignment="1">
      <alignment horizontal="left" vertical="top" wrapText="1"/>
    </xf>
    <xf numFmtId="0" fontId="13" fillId="6" borderId="16" xfId="0" applyFont="1" applyFill="1" applyBorder="1" applyAlignment="1">
      <alignment horizontal="left" vertical="top" wrapText="1"/>
    </xf>
    <xf numFmtId="0" fontId="15" fillId="0" borderId="75" xfId="0" applyFont="1" applyBorder="1" applyAlignment="1">
      <alignment horizontal="left" vertical="top" wrapText="1"/>
    </xf>
    <xf numFmtId="0" fontId="15" fillId="0" borderId="76" xfId="0" applyFont="1" applyBorder="1" applyAlignment="1">
      <alignment horizontal="left" vertical="top" wrapText="1"/>
    </xf>
    <xf numFmtId="0" fontId="15" fillId="0" borderId="23" xfId="0" applyFont="1" applyBorder="1" applyAlignment="1">
      <alignment horizontal="left" vertical="top" wrapText="1"/>
    </xf>
    <xf numFmtId="0" fontId="14" fillId="6" borderId="40" xfId="0" applyFont="1" applyFill="1" applyBorder="1" applyAlignment="1">
      <alignment horizontal="left" vertical="top" wrapText="1"/>
    </xf>
    <xf numFmtId="0" fontId="14" fillId="6" borderId="41" xfId="0" applyFont="1" applyFill="1" applyBorder="1" applyAlignment="1">
      <alignment horizontal="left" vertical="top" wrapText="1"/>
    </xf>
    <xf numFmtId="0" fontId="14" fillId="6" borderId="42" xfId="0" applyFont="1" applyFill="1" applyBorder="1" applyAlignment="1">
      <alignment horizontal="left" vertical="top" wrapText="1"/>
    </xf>
    <xf numFmtId="0" fontId="15" fillId="0" borderId="14" xfId="0" applyFont="1" applyBorder="1" applyAlignment="1">
      <alignment horizontal="left" vertical="top" wrapText="1"/>
    </xf>
    <xf numFmtId="0" fontId="15" fillId="0" borderId="15" xfId="0" applyFont="1" applyBorder="1" applyAlignment="1">
      <alignment horizontal="left" vertical="top" wrapText="1"/>
    </xf>
    <xf numFmtId="0" fontId="15" fillId="0" borderId="16" xfId="0" applyFont="1" applyBorder="1" applyAlignment="1">
      <alignment horizontal="left" vertical="top" wrapText="1"/>
    </xf>
    <xf numFmtId="0" fontId="18" fillId="4" borderId="6" xfId="0" applyFont="1" applyFill="1" applyBorder="1" applyAlignment="1">
      <alignment horizontal="left" vertical="top" wrapText="1"/>
    </xf>
    <xf numFmtId="0" fontId="18" fillId="4" borderId="7" xfId="0" applyFont="1" applyFill="1" applyBorder="1" applyAlignment="1">
      <alignment horizontal="left" vertical="top" wrapText="1"/>
    </xf>
    <xf numFmtId="0" fontId="18" fillId="4" borderId="8" xfId="0" applyFont="1" applyFill="1" applyBorder="1" applyAlignment="1">
      <alignment horizontal="left" vertical="top" wrapText="1"/>
    </xf>
    <xf numFmtId="0" fontId="18" fillId="4" borderId="10" xfId="0" applyFont="1" applyFill="1" applyBorder="1" applyAlignment="1">
      <alignment horizontal="left" vertical="top" wrapText="1"/>
    </xf>
    <xf numFmtId="0" fontId="18" fillId="4" borderId="14" xfId="0" applyFont="1" applyFill="1" applyBorder="1" applyAlignment="1">
      <alignment horizontal="left" vertical="top" wrapText="1"/>
    </xf>
    <xf numFmtId="0" fontId="18" fillId="4" borderId="15" xfId="0" applyFont="1" applyFill="1" applyBorder="1" applyAlignment="1">
      <alignment horizontal="left" vertical="top" wrapText="1"/>
    </xf>
    <xf numFmtId="0" fontId="18" fillId="4" borderId="5" xfId="0" applyFont="1" applyFill="1" applyBorder="1" applyAlignment="1">
      <alignment horizontal="left" vertical="top" wrapText="1"/>
    </xf>
    <xf numFmtId="0" fontId="26" fillId="4" borderId="5" xfId="0" applyFont="1" applyFill="1" applyBorder="1" applyAlignment="1">
      <alignment horizontal="left" vertical="top" wrapText="1"/>
    </xf>
    <xf numFmtId="0" fontId="23" fillId="4" borderId="37" xfId="0" applyFont="1" applyFill="1" applyBorder="1" applyAlignment="1">
      <alignment horizontal="left" vertical="top" wrapText="1"/>
    </xf>
    <xf numFmtId="0" fontId="23" fillId="4" borderId="38" xfId="0" applyFont="1" applyFill="1" applyBorder="1" applyAlignment="1">
      <alignment horizontal="left" vertical="top" wrapText="1"/>
    </xf>
    <xf numFmtId="0" fontId="23" fillId="4" borderId="39" xfId="0" applyFont="1" applyFill="1" applyBorder="1" applyAlignment="1">
      <alignment horizontal="left" vertical="top" wrapText="1"/>
    </xf>
    <xf numFmtId="0" fontId="14" fillId="6" borderId="5" xfId="0" applyFont="1" applyFill="1" applyBorder="1" applyAlignment="1">
      <alignment horizontal="left" vertical="top" wrapText="1"/>
    </xf>
    <xf numFmtId="0" fontId="14" fillId="6" borderId="14" xfId="0" applyFont="1" applyFill="1" applyBorder="1" applyAlignment="1">
      <alignment horizontal="left" vertical="top" wrapText="1"/>
    </xf>
    <xf numFmtId="0" fontId="14" fillId="6" borderId="15" xfId="0" applyFont="1" applyFill="1" applyBorder="1" applyAlignment="1">
      <alignment horizontal="left" vertical="top" wrapText="1"/>
    </xf>
    <xf numFmtId="0" fontId="14" fillId="6" borderId="16" xfId="0" applyFont="1" applyFill="1" applyBorder="1" applyAlignment="1">
      <alignment horizontal="left" vertical="top" wrapText="1"/>
    </xf>
    <xf numFmtId="0" fontId="14" fillId="6" borderId="11" xfId="0" applyFont="1" applyFill="1" applyBorder="1" applyAlignment="1">
      <alignment horizontal="left" vertical="top" wrapText="1"/>
    </xf>
    <xf numFmtId="9" fontId="14" fillId="6" borderId="4" xfId="0" applyNumberFormat="1" applyFont="1" applyFill="1" applyBorder="1" applyAlignment="1">
      <alignment horizontal="left" vertical="top" wrapText="1"/>
    </xf>
    <xf numFmtId="9" fontId="14" fillId="6" borderId="2" xfId="0" applyNumberFormat="1" applyFont="1" applyFill="1" applyBorder="1" applyAlignment="1">
      <alignment horizontal="left" vertical="top" wrapText="1"/>
    </xf>
    <xf numFmtId="9" fontId="14" fillId="6" borderId="1" xfId="0" applyNumberFormat="1" applyFont="1" applyFill="1" applyBorder="1" applyAlignment="1">
      <alignment horizontal="left" vertical="top" wrapText="1"/>
    </xf>
    <xf numFmtId="9" fontId="14" fillId="6" borderId="13" xfId="0" applyNumberFormat="1" applyFont="1" applyFill="1" applyBorder="1" applyAlignment="1">
      <alignment horizontal="left" vertical="top" wrapText="1"/>
    </xf>
    <xf numFmtId="0" fontId="14" fillId="6" borderId="13" xfId="0" applyFont="1" applyFill="1" applyBorder="1" applyAlignment="1">
      <alignment horizontal="left" vertical="top" wrapText="1"/>
    </xf>
    <xf numFmtId="15" fontId="15" fillId="0" borderId="14" xfId="0" applyNumberFormat="1" applyFont="1" applyBorder="1" applyAlignment="1">
      <alignment horizontal="left" vertical="top"/>
    </xf>
    <xf numFmtId="0" fontId="15" fillId="0" borderId="15" xfId="0" applyFont="1" applyBorder="1" applyAlignment="1">
      <alignment horizontal="left" vertical="top"/>
    </xf>
    <xf numFmtId="0" fontId="15" fillId="0" borderId="16" xfId="0" applyFont="1" applyBorder="1" applyAlignment="1">
      <alignment horizontal="left" vertical="top"/>
    </xf>
    <xf numFmtId="44" fontId="15" fillId="0" borderId="14" xfId="0" applyNumberFormat="1" applyFont="1" applyBorder="1" applyAlignment="1">
      <alignment horizontal="center" vertical="top"/>
    </xf>
    <xf numFmtId="44" fontId="15" fillId="0" borderId="15" xfId="0" applyNumberFormat="1" applyFont="1" applyBorder="1" applyAlignment="1">
      <alignment horizontal="center" vertical="top"/>
    </xf>
    <xf numFmtId="44" fontId="15" fillId="0" borderId="16" xfId="0" applyNumberFormat="1" applyFont="1" applyBorder="1" applyAlignment="1">
      <alignment horizontal="center" vertical="top"/>
    </xf>
    <xf numFmtId="9" fontId="15" fillId="0" borderId="14" xfId="1" applyFont="1" applyBorder="1" applyAlignment="1">
      <alignment horizontal="center" vertical="top"/>
    </xf>
    <xf numFmtId="9" fontId="15" fillId="0" borderId="15" xfId="1" applyFont="1" applyBorder="1" applyAlignment="1">
      <alignment horizontal="center" vertical="top"/>
    </xf>
    <xf numFmtId="9" fontId="15" fillId="0" borderId="16" xfId="1" applyFont="1" applyBorder="1" applyAlignment="1">
      <alignment horizontal="center" vertical="top"/>
    </xf>
    <xf numFmtId="0" fontId="15" fillId="0" borderId="40" xfId="0" applyFont="1" applyBorder="1" applyAlignment="1">
      <alignment horizontal="left" vertical="top" wrapText="1"/>
    </xf>
    <xf numFmtId="0" fontId="15" fillId="0" borderId="41" xfId="0" applyFont="1" applyBorder="1" applyAlignment="1">
      <alignment horizontal="left" vertical="top" wrapText="1"/>
    </xf>
    <xf numFmtId="0" fontId="15" fillId="0" borderId="42" xfId="0" applyFont="1" applyBorder="1" applyAlignment="1">
      <alignment horizontal="left" vertical="top" wrapText="1"/>
    </xf>
    <xf numFmtId="0" fontId="15" fillId="0" borderId="62" xfId="0" applyFont="1" applyBorder="1" applyAlignment="1">
      <alignment horizontal="left" vertical="top" wrapText="1"/>
    </xf>
    <xf numFmtId="0" fontId="15" fillId="0" borderId="48" xfId="0" applyFont="1" applyBorder="1" applyAlignment="1">
      <alignment horizontal="left" vertical="top" wrapText="1"/>
    </xf>
    <xf numFmtId="0" fontId="18" fillId="4" borderId="25" xfId="0" applyFont="1" applyFill="1" applyBorder="1" applyAlignment="1">
      <alignment horizontal="left" vertical="top" wrapText="1"/>
    </xf>
    <xf numFmtId="0" fontId="23" fillId="0" borderId="17" xfId="0" applyFont="1" applyBorder="1" applyAlignment="1">
      <alignment horizontal="left" vertical="top" wrapText="1"/>
    </xf>
    <xf numFmtId="0" fontId="23" fillId="0" borderId="38" xfId="0" applyFont="1" applyBorder="1" applyAlignment="1">
      <alignment horizontal="left" vertical="top" wrapText="1"/>
    </xf>
    <xf numFmtId="0" fontId="23" fillId="0" borderId="19" xfId="0" applyFont="1" applyBorder="1" applyAlignment="1">
      <alignment horizontal="left" vertical="top" wrapText="1"/>
    </xf>
    <xf numFmtId="0" fontId="13" fillId="6" borderId="5" xfId="0" applyFont="1" applyFill="1" applyBorder="1" applyAlignment="1">
      <alignment horizontal="left" vertical="top" wrapText="1"/>
    </xf>
    <xf numFmtId="0" fontId="15" fillId="0" borderId="77" xfId="0" applyFont="1" applyBorder="1" applyAlignment="1">
      <alignment horizontal="center" vertical="top"/>
    </xf>
    <xf numFmtId="0" fontId="15" fillId="0" borderId="81" xfId="0" applyFont="1" applyBorder="1" applyAlignment="1">
      <alignment horizontal="center" vertical="top"/>
    </xf>
    <xf numFmtId="0" fontId="15" fillId="0" borderId="78" xfId="0" applyFont="1" applyBorder="1" applyAlignment="1">
      <alignment horizontal="center" vertical="top"/>
    </xf>
    <xf numFmtId="164" fontId="14" fillId="6" borderId="5" xfId="0" applyNumberFormat="1" applyFont="1" applyFill="1" applyBorder="1" applyAlignment="1">
      <alignment horizontal="center" vertical="top" wrapText="1"/>
    </xf>
    <xf numFmtId="0" fontId="15" fillId="0" borderId="20" xfId="0" applyFont="1" applyBorder="1" applyAlignment="1">
      <alignment horizontal="left" vertical="top"/>
    </xf>
    <xf numFmtId="0" fontId="15" fillId="0" borderId="12" xfId="0" applyFont="1" applyBorder="1" applyAlignment="1">
      <alignment horizontal="left" vertical="top"/>
    </xf>
    <xf numFmtId="0" fontId="15" fillId="0" borderId="21" xfId="0" applyFont="1" applyBorder="1" applyAlignment="1">
      <alignment horizontal="left" vertical="top"/>
    </xf>
    <xf numFmtId="0" fontId="18" fillId="4" borderId="16" xfId="0" applyFont="1" applyFill="1" applyBorder="1" applyAlignment="1">
      <alignment horizontal="left" vertical="top" wrapText="1"/>
    </xf>
    <xf numFmtId="0" fontId="15" fillId="0" borderId="79" xfId="0" applyFont="1" applyBorder="1" applyAlignment="1">
      <alignment horizontal="left" vertical="top"/>
    </xf>
    <xf numFmtId="0" fontId="15" fillId="0" borderId="82" xfId="0" applyFont="1" applyBorder="1" applyAlignment="1">
      <alignment horizontal="left" vertical="top"/>
    </xf>
    <xf numFmtId="0" fontId="15" fillId="0" borderId="80" xfId="0" applyFont="1" applyBorder="1" applyAlignment="1">
      <alignment horizontal="left" vertical="top"/>
    </xf>
    <xf numFmtId="0" fontId="13" fillId="6" borderId="14" xfId="0" applyFont="1" applyFill="1" applyBorder="1" applyAlignment="1">
      <alignment horizontal="center" vertical="top" wrapText="1"/>
    </xf>
    <xf numFmtId="0" fontId="13" fillId="6" borderId="15" xfId="0" applyFont="1" applyFill="1" applyBorder="1" applyAlignment="1">
      <alignment horizontal="center" vertical="top" wrapText="1"/>
    </xf>
    <xf numFmtId="0" fontId="13" fillId="6" borderId="45" xfId="0" applyFont="1" applyFill="1" applyBorder="1" applyAlignment="1">
      <alignment horizontal="center" vertical="top" wrapText="1"/>
    </xf>
    <xf numFmtId="0" fontId="15" fillId="0" borderId="77" xfId="0" applyFont="1" applyBorder="1" applyAlignment="1">
      <alignment horizontal="left" vertical="top"/>
    </xf>
    <xf numFmtId="0" fontId="15" fillId="0" borderId="81" xfId="0" applyFont="1" applyBorder="1" applyAlignment="1">
      <alignment horizontal="left" vertical="top"/>
    </xf>
    <xf numFmtId="0" fontId="15" fillId="0" borderId="78" xfId="0" applyFont="1" applyBorder="1" applyAlignment="1">
      <alignment horizontal="left" vertical="top"/>
    </xf>
    <xf numFmtId="164" fontId="14" fillId="6" borderId="5" xfId="0" applyNumberFormat="1" applyFont="1" applyFill="1" applyBorder="1" applyAlignment="1">
      <alignment horizontal="right" vertical="top" wrapText="1"/>
    </xf>
    <xf numFmtId="0" fontId="15" fillId="0" borderId="67" xfId="0" applyFont="1" applyBorder="1" applyAlignment="1">
      <alignment horizontal="left" vertical="top"/>
    </xf>
    <xf numFmtId="0" fontId="15" fillId="0" borderId="68" xfId="0" applyFont="1" applyBorder="1" applyAlignment="1">
      <alignment horizontal="left" vertical="top"/>
    </xf>
    <xf numFmtId="0" fontId="15" fillId="0" borderId="69" xfId="0" applyFont="1" applyBorder="1" applyAlignment="1">
      <alignment horizontal="left" vertical="top"/>
    </xf>
    <xf numFmtId="0" fontId="15" fillId="0" borderId="64" xfId="0" applyFont="1" applyBorder="1" applyAlignment="1">
      <alignment horizontal="left" vertical="top"/>
    </xf>
    <xf numFmtId="0" fontId="15" fillId="0" borderId="9" xfId="0" applyFont="1" applyBorder="1" applyAlignment="1">
      <alignment horizontal="left" vertical="top"/>
    </xf>
    <xf numFmtId="0" fontId="15" fillId="0" borderId="65" xfId="0" applyFont="1" applyBorder="1" applyAlignment="1">
      <alignment horizontal="left" vertical="top"/>
    </xf>
    <xf numFmtId="0" fontId="14" fillId="6" borderId="4" xfId="0" applyFont="1" applyFill="1" applyBorder="1" applyAlignment="1">
      <alignment horizontal="left" vertical="top" wrapText="1"/>
    </xf>
    <xf numFmtId="0" fontId="14" fillId="6" borderId="2" xfId="0" applyFont="1" applyFill="1" applyBorder="1" applyAlignment="1">
      <alignment horizontal="left" vertical="top" wrapText="1"/>
    </xf>
    <xf numFmtId="0" fontId="14" fillId="6" borderId="1" xfId="0" applyFont="1" applyFill="1" applyBorder="1" applyAlignment="1">
      <alignment horizontal="left" vertical="top" wrapText="1"/>
    </xf>
    <xf numFmtId="15" fontId="14" fillId="6" borderId="14" xfId="0" applyNumberFormat="1" applyFont="1" applyFill="1" applyBorder="1" applyAlignment="1">
      <alignment horizontal="center" vertical="top" wrapText="1"/>
    </xf>
    <xf numFmtId="0" fontId="14" fillId="6" borderId="15" xfId="0" applyFont="1" applyFill="1" applyBorder="1" applyAlignment="1">
      <alignment horizontal="center" vertical="top" wrapText="1"/>
    </xf>
    <xf numFmtId="0" fontId="14" fillId="6" borderId="16" xfId="0" applyFont="1" applyFill="1" applyBorder="1" applyAlignment="1">
      <alignment horizontal="center" vertical="top" wrapText="1"/>
    </xf>
    <xf numFmtId="44" fontId="15" fillId="0" borderId="14" xfId="0" applyNumberFormat="1" applyFont="1" applyBorder="1" applyAlignment="1">
      <alignment horizontal="left" vertical="top"/>
    </xf>
    <xf numFmtId="44" fontId="15" fillId="0" borderId="16" xfId="0" applyNumberFormat="1" applyFont="1" applyBorder="1" applyAlignment="1">
      <alignment horizontal="left" vertical="top"/>
    </xf>
    <xf numFmtId="9" fontId="15" fillId="0" borderId="14" xfId="1" applyFont="1" applyBorder="1" applyAlignment="1">
      <alignment horizontal="left" vertical="top"/>
    </xf>
    <xf numFmtId="9" fontId="15" fillId="0" borderId="16" xfId="1" applyFont="1" applyBorder="1" applyAlignment="1">
      <alignment horizontal="left" vertical="top"/>
    </xf>
    <xf numFmtId="0" fontId="13" fillId="7" borderId="5" xfId="0" applyFont="1" applyFill="1" applyBorder="1" applyAlignment="1">
      <alignment horizontal="left" vertical="top" wrapText="1"/>
    </xf>
    <xf numFmtId="0" fontId="26" fillId="7" borderId="5" xfId="0" applyFont="1" applyFill="1" applyBorder="1" applyAlignment="1">
      <alignment horizontal="left" vertical="top" wrapText="1"/>
    </xf>
    <xf numFmtId="0" fontId="23" fillId="0" borderId="47" xfId="0" applyFont="1" applyBorder="1" applyAlignment="1">
      <alignment horizontal="left" vertical="top" wrapText="1"/>
    </xf>
    <xf numFmtId="0" fontId="23" fillId="0" borderId="57" xfId="0" applyFont="1" applyBorder="1" applyAlignment="1">
      <alignment horizontal="left" vertical="top" wrapText="1"/>
    </xf>
    <xf numFmtId="0" fontId="23" fillId="7" borderId="37" xfId="0" applyFont="1" applyFill="1" applyBorder="1" applyAlignment="1">
      <alignment horizontal="left" vertical="top" wrapText="1"/>
    </xf>
    <xf numFmtId="0" fontId="23" fillId="7" borderId="38" xfId="0" applyFont="1" applyFill="1" applyBorder="1" applyAlignment="1">
      <alignment horizontal="left" vertical="top" wrapText="1"/>
    </xf>
    <xf numFmtId="0" fontId="23" fillId="7" borderId="39" xfId="0" applyFont="1" applyFill="1" applyBorder="1" applyAlignment="1">
      <alignment horizontal="left" vertical="top" wrapText="1"/>
    </xf>
    <xf numFmtId="0" fontId="13" fillId="7" borderId="24" xfId="0" applyFont="1" applyFill="1" applyBorder="1" applyAlignment="1">
      <alignment horizontal="left" vertical="top" wrapText="1"/>
    </xf>
    <xf numFmtId="0" fontId="13" fillId="7" borderId="26" xfId="0" applyFont="1" applyFill="1" applyBorder="1" applyAlignment="1">
      <alignment horizontal="left" vertical="top" wrapText="1"/>
    </xf>
    <xf numFmtId="0" fontId="13" fillId="7" borderId="27" xfId="0" applyFont="1" applyFill="1" applyBorder="1" applyAlignment="1">
      <alignment horizontal="left" vertical="top" wrapText="1"/>
    </xf>
    <xf numFmtId="0" fontId="13" fillId="6" borderId="46" xfId="0" applyFont="1" applyFill="1" applyBorder="1" applyAlignment="1">
      <alignment horizontal="left" vertical="top" wrapText="1"/>
    </xf>
    <xf numFmtId="0" fontId="13" fillId="7" borderId="11" xfId="0" applyFont="1" applyFill="1" applyBorder="1" applyAlignment="1">
      <alignment horizontal="left" vertical="top" wrapText="1"/>
    </xf>
    <xf numFmtId="0" fontId="13" fillId="7" borderId="12" xfId="0" applyFont="1" applyFill="1" applyBorder="1" applyAlignment="1">
      <alignment horizontal="left" vertical="top" wrapText="1"/>
    </xf>
    <xf numFmtId="0" fontId="13" fillId="7" borderId="13" xfId="0" applyFont="1" applyFill="1" applyBorder="1" applyAlignment="1">
      <alignment horizontal="left" vertical="top" wrapText="1"/>
    </xf>
    <xf numFmtId="0" fontId="18" fillId="7" borderId="6" xfId="0" applyFont="1" applyFill="1" applyBorder="1" applyAlignment="1">
      <alignment horizontal="left" vertical="top" wrapText="1"/>
    </xf>
    <xf numFmtId="0" fontId="18" fillId="7" borderId="7" xfId="0" applyFont="1" applyFill="1" applyBorder="1" applyAlignment="1">
      <alignment horizontal="left" vertical="top" wrapText="1"/>
    </xf>
    <xf numFmtId="0" fontId="18" fillId="7" borderId="8" xfId="0" applyFont="1" applyFill="1" applyBorder="1" applyAlignment="1">
      <alignment horizontal="left" vertical="top" wrapText="1"/>
    </xf>
    <xf numFmtId="0" fontId="18" fillId="7" borderId="10" xfId="0" applyFont="1" applyFill="1" applyBorder="1" applyAlignment="1">
      <alignment horizontal="left" vertical="top" wrapText="1"/>
    </xf>
    <xf numFmtId="0" fontId="13" fillId="7" borderId="14" xfId="0" applyFont="1" applyFill="1" applyBorder="1" applyAlignment="1">
      <alignment horizontal="left" vertical="top" wrapText="1"/>
    </xf>
    <xf numFmtId="0" fontId="13" fillId="7" borderId="15" xfId="0" applyFont="1" applyFill="1" applyBorder="1" applyAlignment="1">
      <alignment horizontal="left" vertical="top" wrapText="1"/>
    </xf>
    <xf numFmtId="0" fontId="15" fillId="0" borderId="52" xfId="0" applyFont="1" applyBorder="1" applyAlignment="1">
      <alignment horizontal="left" vertical="top"/>
    </xf>
    <xf numFmtId="0" fontId="15" fillId="0" borderId="53" xfId="0" applyFont="1" applyBorder="1" applyAlignment="1">
      <alignment horizontal="left" vertical="top"/>
    </xf>
    <xf numFmtId="0" fontId="15" fillId="0" borderId="54" xfId="0" applyFont="1" applyBorder="1" applyAlignment="1">
      <alignment horizontal="left" vertical="top"/>
    </xf>
    <xf numFmtId="0" fontId="12" fillId="3" borderId="5" xfId="0" applyFont="1" applyFill="1" applyBorder="1" applyAlignment="1">
      <alignment vertical="top" wrapText="1"/>
    </xf>
    <xf numFmtId="0" fontId="23" fillId="8" borderId="37" xfId="0" applyFont="1" applyFill="1" applyBorder="1" applyAlignment="1">
      <alignment horizontal="left" vertical="top" wrapText="1"/>
    </xf>
    <xf numFmtId="0" fontId="23" fillId="8" borderId="38" xfId="0" applyFont="1" applyFill="1" applyBorder="1" applyAlignment="1">
      <alignment horizontal="left" vertical="top" wrapText="1"/>
    </xf>
    <xf numFmtId="0" fontId="23" fillId="8" borderId="39" xfId="0" applyFont="1" applyFill="1" applyBorder="1" applyAlignment="1">
      <alignment horizontal="left" vertical="top" wrapText="1"/>
    </xf>
    <xf numFmtId="0" fontId="13" fillId="6" borderId="16" xfId="0" applyFont="1" applyFill="1" applyBorder="1" applyAlignment="1">
      <alignment horizontal="center" vertical="top" wrapText="1"/>
    </xf>
    <xf numFmtId="0" fontId="14" fillId="6" borderId="14" xfId="0" applyFont="1" applyFill="1" applyBorder="1" applyAlignment="1">
      <alignment vertical="top" wrapText="1"/>
    </xf>
    <xf numFmtId="0" fontId="14" fillId="6" borderId="15" xfId="0" applyFont="1" applyFill="1" applyBorder="1" applyAlignment="1">
      <alignment vertical="top" wrapText="1"/>
    </xf>
    <xf numFmtId="0" fontId="14" fillId="6" borderId="16" xfId="0" applyFont="1" applyFill="1" applyBorder="1" applyAlignment="1">
      <alignment vertical="top" wrapText="1"/>
    </xf>
    <xf numFmtId="0" fontId="26" fillId="8" borderId="5" xfId="0" applyFont="1" applyFill="1" applyBorder="1" applyAlignment="1">
      <alignment horizontal="left" vertical="top" wrapText="1"/>
    </xf>
    <xf numFmtId="0" fontId="13" fillId="8" borderId="5" xfId="0" applyFont="1" applyFill="1" applyBorder="1" applyAlignment="1">
      <alignment horizontal="left" vertical="top" wrapText="1"/>
    </xf>
    <xf numFmtId="0" fontId="13" fillId="8" borderId="25" xfId="0" applyFont="1" applyFill="1" applyBorder="1" applyAlignment="1">
      <alignment horizontal="left" vertical="top" wrapText="1"/>
    </xf>
    <xf numFmtId="0" fontId="18" fillId="8" borderId="6" xfId="0" applyFont="1" applyFill="1" applyBorder="1" applyAlignment="1">
      <alignment horizontal="left" vertical="top" wrapText="1"/>
    </xf>
    <xf numFmtId="0" fontId="18" fillId="8" borderId="7" xfId="0" applyFont="1" applyFill="1" applyBorder="1" applyAlignment="1">
      <alignment horizontal="left" vertical="top" wrapText="1"/>
    </xf>
    <xf numFmtId="0" fontId="18" fillId="8" borderId="8" xfId="0" applyFont="1" applyFill="1" applyBorder="1" applyAlignment="1">
      <alignment horizontal="left" vertical="top" wrapText="1"/>
    </xf>
    <xf numFmtId="0" fontId="18" fillId="8" borderId="10" xfId="0" applyFont="1" applyFill="1" applyBorder="1" applyAlignment="1">
      <alignment horizontal="left" vertical="top" wrapText="1"/>
    </xf>
    <xf numFmtId="0" fontId="13" fillId="8" borderId="14" xfId="0" applyFont="1" applyFill="1" applyBorder="1" applyAlignment="1">
      <alignment horizontal="left" vertical="top" wrapText="1"/>
    </xf>
    <xf numFmtId="0" fontId="13" fillId="8" borderId="15" xfId="0" applyFont="1" applyFill="1" applyBorder="1" applyAlignment="1">
      <alignment horizontal="left" vertical="top" wrapText="1"/>
    </xf>
    <xf numFmtId="15" fontId="14" fillId="6" borderId="14" xfId="0" applyNumberFormat="1" applyFont="1" applyFill="1" applyBorder="1" applyAlignment="1">
      <alignment horizontal="left" vertical="top" wrapText="1"/>
    </xf>
    <xf numFmtId="15" fontId="14" fillId="6" borderId="15" xfId="0" applyNumberFormat="1" applyFont="1" applyFill="1" applyBorder="1" applyAlignment="1">
      <alignment horizontal="left" vertical="top" wrapText="1"/>
    </xf>
    <xf numFmtId="15" fontId="14" fillId="6" borderId="16" xfId="0" applyNumberFormat="1" applyFont="1" applyFill="1" applyBorder="1" applyAlignment="1">
      <alignment horizontal="left" vertical="top" wrapText="1"/>
    </xf>
    <xf numFmtId="0" fontId="19" fillId="0" borderId="20" xfId="0" applyFont="1" applyBorder="1" applyAlignment="1">
      <alignment horizontal="left" vertical="top" wrapText="1"/>
    </xf>
    <xf numFmtId="0" fontId="19" fillId="0" borderId="12" xfId="0" applyFont="1" applyBorder="1" applyAlignment="1">
      <alignment horizontal="left" vertical="top" wrapText="1"/>
    </xf>
    <xf numFmtId="0" fontId="19" fillId="0" borderId="21" xfId="0" applyFont="1" applyBorder="1" applyAlignment="1">
      <alignment horizontal="left" vertical="top" wrapText="1"/>
    </xf>
    <xf numFmtId="0" fontId="14" fillId="5" borderId="15" xfId="0" applyFont="1" applyFill="1" applyBorder="1" applyAlignment="1">
      <alignment horizontal="left" vertical="top" wrapText="1"/>
    </xf>
    <xf numFmtId="0" fontId="14" fillId="5" borderId="16" xfId="0" applyFont="1" applyFill="1" applyBorder="1" applyAlignment="1">
      <alignment horizontal="left" vertical="top" wrapText="1"/>
    </xf>
    <xf numFmtId="0" fontId="14" fillId="6" borderId="5" xfId="0" applyFont="1" applyFill="1" applyBorder="1" applyAlignment="1">
      <alignment vertical="top" wrapText="1"/>
    </xf>
    <xf numFmtId="0" fontId="14" fillId="5" borderId="5" xfId="0" applyFont="1" applyFill="1" applyBorder="1" applyAlignment="1">
      <alignment horizontal="left" vertical="top" wrapText="1"/>
    </xf>
    <xf numFmtId="9" fontId="15" fillId="0" borderId="14" xfId="1" applyFont="1" applyFill="1" applyBorder="1" applyAlignment="1">
      <alignment horizontal="left" vertical="top"/>
    </xf>
    <xf numFmtId="9" fontId="15" fillId="0" borderId="15" xfId="1" applyFont="1" applyFill="1" applyBorder="1" applyAlignment="1">
      <alignment horizontal="left" vertical="top"/>
    </xf>
    <xf numFmtId="9" fontId="15" fillId="0" borderId="16" xfId="1" applyFont="1" applyFill="1" applyBorder="1" applyAlignment="1">
      <alignment horizontal="left" vertical="top"/>
    </xf>
    <xf numFmtId="0" fontId="18" fillId="8" borderId="24" xfId="0" applyFont="1" applyFill="1" applyBorder="1" applyAlignment="1">
      <alignment horizontal="left" vertical="top" wrapText="1"/>
    </xf>
    <xf numFmtId="0" fontId="18" fillId="8" borderId="26" xfId="0" applyFont="1" applyFill="1" applyBorder="1" applyAlignment="1">
      <alignment horizontal="left" vertical="top" wrapText="1"/>
    </xf>
    <xf numFmtId="0" fontId="18" fillId="8" borderId="66" xfId="0" applyFont="1" applyFill="1" applyBorder="1" applyAlignment="1">
      <alignment horizontal="left" vertical="top" wrapText="1"/>
    </xf>
    <xf numFmtId="0" fontId="15" fillId="0" borderId="20" xfId="0" applyFont="1" applyBorder="1" applyAlignment="1">
      <alignment horizontal="left" vertical="top" wrapText="1"/>
    </xf>
    <xf numFmtId="0" fontId="15" fillId="0" borderId="12" xfId="0" applyFont="1" applyBorder="1" applyAlignment="1">
      <alignment horizontal="left" vertical="top" wrapText="1"/>
    </xf>
    <xf numFmtId="0" fontId="15" fillId="0" borderId="21" xfId="0" applyFont="1" applyBorder="1" applyAlignment="1">
      <alignment horizontal="left" vertical="top" wrapText="1"/>
    </xf>
    <xf numFmtId="0" fontId="15" fillId="0" borderId="40" xfId="1" applyNumberFormat="1" applyFont="1" applyFill="1" applyBorder="1" applyAlignment="1">
      <alignment horizontal="left" vertical="top" wrapText="1"/>
    </xf>
    <xf numFmtId="0" fontId="15" fillId="0" borderId="41" xfId="1" applyNumberFormat="1" applyFont="1" applyFill="1" applyBorder="1" applyAlignment="1">
      <alignment horizontal="left" vertical="top" wrapText="1"/>
    </xf>
    <xf numFmtId="0" fontId="15" fillId="0" borderId="42" xfId="1" applyNumberFormat="1" applyFont="1" applyFill="1" applyBorder="1" applyAlignment="1">
      <alignment horizontal="left" vertical="top" wrapText="1"/>
    </xf>
    <xf numFmtId="0" fontId="19" fillId="0" borderId="70" xfId="0" applyFont="1" applyBorder="1" applyAlignment="1">
      <alignment horizontal="left" vertical="top" wrapText="1"/>
    </xf>
    <xf numFmtId="0" fontId="19" fillId="0" borderId="71" xfId="0" applyFont="1" applyBorder="1" applyAlignment="1">
      <alignment horizontal="left" vertical="top" wrapText="1"/>
    </xf>
    <xf numFmtId="0" fontId="19" fillId="0" borderId="72" xfId="0" applyFont="1" applyBorder="1" applyAlignment="1">
      <alignment horizontal="left" vertical="top" wrapText="1"/>
    </xf>
    <xf numFmtId="0" fontId="19" fillId="0" borderId="64" xfId="0" applyFont="1" applyBorder="1" applyAlignment="1">
      <alignment horizontal="left" vertical="top" wrapText="1"/>
    </xf>
    <xf numFmtId="0" fontId="19" fillId="0" borderId="9" xfId="0" applyFont="1" applyBorder="1" applyAlignment="1">
      <alignment horizontal="left" vertical="top" wrapText="1"/>
    </xf>
    <xf numFmtId="0" fontId="19" fillId="0" borderId="65" xfId="0" applyFont="1" applyBorder="1" applyAlignment="1">
      <alignment horizontal="left" vertical="top" wrapText="1"/>
    </xf>
    <xf numFmtId="0" fontId="19" fillId="0" borderId="67" xfId="0" applyFont="1" applyBorder="1" applyAlignment="1">
      <alignment horizontal="left" vertical="top" wrapText="1"/>
    </xf>
    <xf numFmtId="0" fontId="19" fillId="0" borderId="68" xfId="0" applyFont="1" applyBorder="1" applyAlignment="1">
      <alignment horizontal="left" vertical="top" wrapText="1"/>
    </xf>
    <xf numFmtId="0" fontId="19" fillId="0" borderId="69" xfId="0" applyFont="1" applyBorder="1" applyAlignment="1">
      <alignment horizontal="left" vertical="top" wrapText="1"/>
    </xf>
    <xf numFmtId="0" fontId="14" fillId="6" borderId="14" xfId="0" applyFont="1" applyFill="1" applyBorder="1" applyAlignment="1">
      <alignment horizontal="center" vertical="top" wrapText="1"/>
    </xf>
    <xf numFmtId="44" fontId="15" fillId="0" borderId="14" xfId="1" applyNumberFormat="1" applyFont="1" applyFill="1" applyBorder="1" applyAlignment="1">
      <alignment horizontal="left" vertical="top"/>
    </xf>
    <xf numFmtId="44" fontId="15" fillId="0" borderId="15" xfId="1" applyNumberFormat="1" applyFont="1" applyFill="1" applyBorder="1" applyAlignment="1">
      <alignment horizontal="left" vertical="top"/>
    </xf>
    <xf numFmtId="44" fontId="15" fillId="0" borderId="16" xfId="1" applyNumberFormat="1" applyFont="1" applyFill="1" applyBorder="1" applyAlignment="1">
      <alignment horizontal="left" vertical="top"/>
    </xf>
    <xf numFmtId="0" fontId="18" fillId="8" borderId="62" xfId="0" applyFont="1" applyFill="1" applyBorder="1" applyAlignment="1">
      <alignment horizontal="left" vertical="top" wrapText="1"/>
    </xf>
    <xf numFmtId="0" fontId="18" fillId="8" borderId="15" xfId="0" applyFont="1" applyFill="1" applyBorder="1" applyAlignment="1">
      <alignment horizontal="left" vertical="top" wrapText="1"/>
    </xf>
    <xf numFmtId="0" fontId="18" fillId="8" borderId="48" xfId="0" applyFont="1" applyFill="1" applyBorder="1" applyAlignment="1">
      <alignment horizontal="left" vertical="top" wrapText="1"/>
    </xf>
    <xf numFmtId="164" fontId="14" fillId="6" borderId="62" xfId="0" applyNumberFormat="1" applyFont="1" applyFill="1" applyBorder="1" applyAlignment="1">
      <alignment horizontal="right" vertical="top" wrapText="1"/>
    </xf>
    <xf numFmtId="164" fontId="14" fillId="6" borderId="15" xfId="0" applyNumberFormat="1" applyFont="1" applyFill="1" applyBorder="1" applyAlignment="1">
      <alignment horizontal="right" vertical="top" wrapText="1"/>
    </xf>
    <xf numFmtId="164" fontId="14" fillId="6" borderId="48" xfId="0" applyNumberFormat="1" applyFont="1" applyFill="1" applyBorder="1" applyAlignment="1">
      <alignment horizontal="right" vertical="top" wrapText="1"/>
    </xf>
    <xf numFmtId="0" fontId="14" fillId="6" borderId="62" xfId="0" applyFont="1" applyFill="1" applyBorder="1" applyAlignment="1">
      <alignment horizontal="left" vertical="top" wrapText="1"/>
    </xf>
    <xf numFmtId="0" fontId="14" fillId="6" borderId="48" xfId="0" applyFont="1" applyFill="1" applyBorder="1" applyAlignment="1">
      <alignment horizontal="left" vertical="top" wrapText="1"/>
    </xf>
    <xf numFmtId="0" fontId="14" fillId="6" borderId="63" xfId="0" applyFont="1" applyFill="1" applyBorder="1" applyAlignment="1">
      <alignment horizontal="left" vertical="top" wrapText="1"/>
    </xf>
    <xf numFmtId="0" fontId="14" fillId="6" borderId="61" xfId="0" applyFont="1" applyFill="1" applyBorder="1" applyAlignment="1">
      <alignment horizontal="left" vertical="top" wrapText="1"/>
    </xf>
    <xf numFmtId="0" fontId="14" fillId="6" borderId="5" xfId="0" applyFont="1" applyFill="1" applyBorder="1" applyAlignment="1">
      <alignment horizontal="center" vertical="top" wrapText="1"/>
    </xf>
    <xf numFmtId="15" fontId="14" fillId="6" borderId="15" xfId="0" applyNumberFormat="1" applyFont="1" applyFill="1" applyBorder="1" applyAlignment="1">
      <alignment horizontal="center" vertical="top" wrapText="1"/>
    </xf>
    <xf numFmtId="15" fontId="14" fillId="6" borderId="16" xfId="0" applyNumberFormat="1" applyFont="1" applyFill="1" applyBorder="1" applyAlignment="1">
      <alignment horizontal="center" vertical="top" wrapText="1"/>
    </xf>
    <xf numFmtId="0" fontId="13" fillId="6" borderId="15" xfId="0" applyFont="1" applyFill="1" applyBorder="1" applyAlignment="1">
      <alignment vertical="top" wrapText="1"/>
    </xf>
    <xf numFmtId="0" fontId="13" fillId="6" borderId="45" xfId="0" applyFont="1" applyFill="1" applyBorder="1" applyAlignment="1">
      <alignment vertical="top" wrapText="1"/>
    </xf>
    <xf numFmtId="0" fontId="14" fillId="8" borderId="5" xfId="0" applyFont="1" applyFill="1" applyBorder="1" applyAlignment="1">
      <alignment horizontal="left" vertical="top" wrapText="1"/>
    </xf>
    <xf numFmtId="0" fontId="13" fillId="6" borderId="45" xfId="0" applyFont="1" applyFill="1" applyBorder="1" applyAlignment="1">
      <alignment horizontal="left" vertical="top" wrapText="1"/>
    </xf>
    <xf numFmtId="164" fontId="14" fillId="6" borderId="14" xfId="0" applyNumberFormat="1" applyFont="1" applyFill="1" applyBorder="1" applyAlignment="1">
      <alignment horizontal="left" vertical="top" wrapText="1"/>
    </xf>
    <xf numFmtId="164" fontId="14" fillId="6" borderId="15" xfId="0" applyNumberFormat="1" applyFont="1" applyFill="1" applyBorder="1" applyAlignment="1">
      <alignment horizontal="left" vertical="top" wrapText="1"/>
    </xf>
    <xf numFmtId="164" fontId="14" fillId="6" borderId="16" xfId="0" applyNumberFormat="1" applyFont="1" applyFill="1" applyBorder="1" applyAlignment="1">
      <alignment horizontal="left" vertical="top" wrapText="1"/>
    </xf>
    <xf numFmtId="0" fontId="14" fillId="6" borderId="48" xfId="0" applyFont="1" applyFill="1" applyBorder="1" applyAlignment="1">
      <alignment vertical="top" wrapText="1"/>
    </xf>
    <xf numFmtId="0" fontId="14" fillId="6" borderId="48" xfId="0" applyFont="1" applyFill="1" applyBorder="1" applyAlignment="1">
      <alignment horizontal="center" vertical="top" wrapText="1"/>
    </xf>
    <xf numFmtId="0" fontId="14" fillId="6" borderId="46" xfId="0" applyFont="1" applyFill="1" applyBorder="1" applyAlignment="1">
      <alignment horizontal="left" vertical="top" wrapText="1"/>
    </xf>
    <xf numFmtId="0" fontId="14" fillId="8" borderId="46" xfId="0" applyFont="1" applyFill="1" applyBorder="1" applyAlignment="1">
      <alignment horizontal="left" vertical="top" wrapText="1"/>
    </xf>
    <xf numFmtId="0" fontId="14" fillId="6" borderId="45" xfId="0" applyFont="1" applyFill="1" applyBorder="1" applyAlignment="1">
      <alignment horizontal="center" vertical="top" wrapText="1"/>
    </xf>
    <xf numFmtId="164" fontId="14" fillId="6" borderId="14" xfId="0" applyNumberFormat="1" applyFont="1" applyFill="1" applyBorder="1" applyAlignment="1">
      <alignment horizontal="right" vertical="top" wrapText="1"/>
    </xf>
    <xf numFmtId="164" fontId="14" fillId="6" borderId="16" xfId="0" applyNumberFormat="1" applyFont="1" applyFill="1" applyBorder="1" applyAlignment="1">
      <alignment horizontal="right" vertical="top" wrapText="1"/>
    </xf>
    <xf numFmtId="0" fontId="15" fillId="0" borderId="11" xfId="0" applyFont="1" applyBorder="1" applyAlignment="1">
      <alignment horizontal="left" vertical="top" wrapText="1"/>
    </xf>
    <xf numFmtId="0" fontId="15" fillId="0" borderId="52" xfId="0" applyFont="1" applyBorder="1" applyAlignment="1">
      <alignment horizontal="left" vertical="top" wrapText="1"/>
    </xf>
    <xf numFmtId="0" fontId="15" fillId="0" borderId="53" xfId="0" applyFont="1" applyBorder="1" applyAlignment="1">
      <alignment horizontal="left" vertical="top" wrapText="1"/>
    </xf>
    <xf numFmtId="0" fontId="15" fillId="0" borderId="54" xfId="0" applyFont="1" applyBorder="1" applyAlignment="1">
      <alignment horizontal="left" vertical="top" wrapText="1"/>
    </xf>
    <xf numFmtId="0" fontId="18" fillId="8" borderId="24" xfId="0" applyFont="1" applyFill="1" applyBorder="1" applyAlignment="1">
      <alignment horizontal="center" vertical="top" wrapText="1"/>
    </xf>
    <xf numFmtId="0" fontId="18" fillId="8" borderId="26" xfId="0" applyFont="1" applyFill="1" applyBorder="1" applyAlignment="1">
      <alignment horizontal="center" vertical="top" wrapText="1"/>
    </xf>
    <xf numFmtId="0" fontId="18" fillId="8" borderId="66" xfId="0" applyFont="1" applyFill="1" applyBorder="1" applyAlignment="1">
      <alignment horizontal="center" vertical="top" wrapText="1"/>
    </xf>
    <xf numFmtId="15" fontId="14" fillId="6" borderId="45" xfId="0" applyNumberFormat="1" applyFont="1" applyFill="1" applyBorder="1" applyAlignment="1">
      <alignment horizontal="center" vertical="top" wrapText="1"/>
    </xf>
    <xf numFmtId="164" fontId="14" fillId="6" borderId="14" xfId="0" applyNumberFormat="1" applyFont="1" applyFill="1" applyBorder="1" applyAlignment="1">
      <alignment horizontal="center" vertical="top" wrapText="1"/>
    </xf>
    <xf numFmtId="164" fontId="14" fillId="6" borderId="48" xfId="0" applyNumberFormat="1" applyFont="1" applyFill="1" applyBorder="1" applyAlignment="1">
      <alignment horizontal="center" vertical="top" wrapText="1"/>
    </xf>
    <xf numFmtId="0" fontId="26" fillId="9" borderId="5" xfId="0" applyFont="1" applyFill="1" applyBorder="1" applyAlignment="1">
      <alignment horizontal="left" vertical="top" wrapText="1"/>
    </xf>
    <xf numFmtId="0" fontId="16" fillId="10" borderId="9" xfId="0" applyFont="1" applyFill="1" applyBorder="1" applyAlignment="1">
      <alignment horizontal="left" vertical="top"/>
    </xf>
    <xf numFmtId="0" fontId="18" fillId="9" borderId="6" xfId="0" applyFont="1" applyFill="1" applyBorder="1" applyAlignment="1">
      <alignment horizontal="left" vertical="top" wrapText="1"/>
    </xf>
    <xf numFmtId="0" fontId="18" fillId="9" borderId="7" xfId="0" applyFont="1" applyFill="1" applyBorder="1" applyAlignment="1">
      <alignment horizontal="left" vertical="top" wrapText="1"/>
    </xf>
    <xf numFmtId="0" fontId="18" fillId="9" borderId="8" xfId="0" applyFont="1" applyFill="1" applyBorder="1" applyAlignment="1">
      <alignment horizontal="left" vertical="top" wrapText="1"/>
    </xf>
    <xf numFmtId="0" fontId="18" fillId="9" borderId="10" xfId="0" applyFont="1" applyFill="1" applyBorder="1" applyAlignment="1">
      <alignment horizontal="left" vertical="top" wrapText="1"/>
    </xf>
    <xf numFmtId="0" fontId="18" fillId="9" borderId="14" xfId="0" applyFont="1" applyFill="1" applyBorder="1" applyAlignment="1">
      <alignment horizontal="left" vertical="top" wrapText="1"/>
    </xf>
    <xf numFmtId="0" fontId="18" fillId="9" borderId="15" xfId="0" applyFont="1" applyFill="1" applyBorder="1" applyAlignment="1">
      <alignment horizontal="left" vertical="top" wrapText="1"/>
    </xf>
    <xf numFmtId="0" fontId="18" fillId="9" borderId="5" xfId="0" applyFont="1" applyFill="1" applyBorder="1" applyAlignment="1">
      <alignment horizontal="left" vertical="top" wrapText="1"/>
    </xf>
    <xf numFmtId="0" fontId="23" fillId="12" borderId="5" xfId="0" applyFont="1" applyFill="1" applyBorder="1" applyAlignment="1">
      <alignment horizontal="center" vertical="top" wrapText="1"/>
    </xf>
    <xf numFmtId="0" fontId="18" fillId="9" borderId="11" xfId="0" applyFont="1" applyFill="1" applyBorder="1" applyAlignment="1">
      <alignment horizontal="left" vertical="top" wrapText="1"/>
    </xf>
    <xf numFmtId="0" fontId="18" fillId="9" borderId="12" xfId="0" applyFont="1" applyFill="1" applyBorder="1" applyAlignment="1">
      <alignment horizontal="left" vertical="top" wrapText="1"/>
    </xf>
    <xf numFmtId="0" fontId="18" fillId="9" borderId="13" xfId="0" applyFont="1" applyFill="1" applyBorder="1" applyAlignment="1">
      <alignment horizontal="left" vertical="top" wrapText="1"/>
    </xf>
    <xf numFmtId="0" fontId="23" fillId="9" borderId="37" xfId="0" applyFont="1" applyFill="1" applyBorder="1" applyAlignment="1">
      <alignment horizontal="left" vertical="top" wrapText="1"/>
    </xf>
    <xf numFmtId="0" fontId="23" fillId="9" borderId="38" xfId="0" applyFont="1" applyFill="1" applyBorder="1" applyAlignment="1">
      <alignment horizontal="left" vertical="top" wrapText="1"/>
    </xf>
    <xf numFmtId="0" fontId="23" fillId="9" borderId="39" xfId="0" applyFont="1" applyFill="1" applyBorder="1" applyAlignment="1">
      <alignment horizontal="left" vertical="top" wrapText="1"/>
    </xf>
    <xf numFmtId="164" fontId="14" fillId="6" borderId="6" xfId="0" applyNumberFormat="1" applyFont="1" applyFill="1" applyBorder="1" applyAlignment="1">
      <alignment horizontal="left" vertical="top" wrapText="1"/>
    </xf>
    <xf numFmtId="164" fontId="14" fillId="6" borderId="8" xfId="0" applyNumberFormat="1" applyFont="1" applyFill="1" applyBorder="1" applyAlignment="1">
      <alignment horizontal="left" vertical="top" wrapText="1"/>
    </xf>
    <xf numFmtId="0" fontId="13" fillId="9" borderId="14" xfId="0" applyFont="1" applyFill="1" applyBorder="1" applyAlignment="1">
      <alignment horizontal="left" vertical="top" wrapText="1"/>
    </xf>
    <xf numFmtId="0" fontId="13" fillId="9" borderId="16" xfId="0" applyFont="1" applyFill="1" applyBorder="1" applyAlignment="1">
      <alignment horizontal="left" vertical="top" wrapText="1"/>
    </xf>
    <xf numFmtId="15" fontId="14" fillId="6" borderId="5" xfId="0" applyNumberFormat="1" applyFont="1" applyFill="1" applyBorder="1" applyAlignment="1">
      <alignment horizontal="left" vertical="top" wrapText="1"/>
    </xf>
    <xf numFmtId="164" fontId="14" fillId="6" borderId="16" xfId="0" applyNumberFormat="1" applyFont="1" applyFill="1" applyBorder="1" applyAlignment="1">
      <alignment horizontal="center" vertical="top" wrapText="1"/>
    </xf>
    <xf numFmtId="44" fontId="15" fillId="0" borderId="14" xfId="1" applyNumberFormat="1" applyFont="1" applyBorder="1" applyAlignment="1">
      <alignment horizontal="center" vertical="top"/>
    </xf>
    <xf numFmtId="44" fontId="15" fillId="0" borderId="45" xfId="1" applyNumberFormat="1" applyFont="1" applyBorder="1" applyAlignment="1">
      <alignment horizontal="center" vertical="top"/>
    </xf>
    <xf numFmtId="9" fontId="15" fillId="0" borderId="45" xfId="1" applyFont="1" applyBorder="1" applyAlignment="1">
      <alignment horizontal="center" vertical="top"/>
    </xf>
    <xf numFmtId="0" fontId="15" fillId="0" borderId="23" xfId="1" applyNumberFormat="1" applyFont="1" applyBorder="1" applyAlignment="1">
      <alignment horizontal="left" vertical="top" wrapText="1"/>
    </xf>
    <xf numFmtId="0" fontId="15" fillId="0" borderId="55" xfId="1" applyNumberFormat="1" applyFont="1" applyBorder="1" applyAlignment="1">
      <alignment horizontal="left" vertical="top" wrapText="1"/>
    </xf>
    <xf numFmtId="0" fontId="9" fillId="0" borderId="11" xfId="0" applyFont="1" applyBorder="1" applyAlignment="1">
      <alignment horizontal="left"/>
    </xf>
    <xf numFmtId="0" fontId="9" fillId="0" borderId="12" xfId="0" applyFont="1" applyBorder="1" applyAlignment="1">
      <alignment horizontal="left"/>
    </xf>
    <xf numFmtId="0" fontId="9" fillId="0" borderId="13" xfId="0" applyFont="1" applyBorder="1" applyAlignment="1">
      <alignment horizontal="left"/>
    </xf>
    <xf numFmtId="0" fontId="9" fillId="0" borderId="14" xfId="0" applyFont="1" applyBorder="1" applyAlignment="1">
      <alignment horizontal="center"/>
    </xf>
    <xf numFmtId="0" fontId="9" fillId="0" borderId="16" xfId="0" applyFont="1" applyBorder="1" applyAlignment="1">
      <alignment horizontal="center"/>
    </xf>
    <xf numFmtId="0" fontId="34" fillId="7" borderId="24" xfId="0" applyFont="1" applyFill="1" applyBorder="1" applyAlignment="1">
      <alignment horizontal="center" wrapText="1"/>
    </xf>
    <xf numFmtId="0" fontId="34" fillId="7" borderId="66" xfId="0" applyFont="1" applyFill="1" applyBorder="1" applyAlignment="1">
      <alignment horizontal="center" wrapText="1"/>
    </xf>
    <xf numFmtId="0" fontId="35" fillId="0" borderId="14" xfId="0" applyFont="1" applyBorder="1" applyAlignment="1">
      <alignment horizontal="center" wrapText="1"/>
    </xf>
    <xf numFmtId="0" fontId="35" fillId="0" borderId="16" xfId="0" applyFont="1" applyBorder="1" applyAlignment="1">
      <alignment horizontal="center" wrapText="1"/>
    </xf>
    <xf numFmtId="10" fontId="9" fillId="7" borderId="24" xfId="1" applyNumberFormat="1" applyFont="1" applyFill="1" applyBorder="1" applyAlignment="1">
      <alignment horizontal="center" vertical="top"/>
    </xf>
    <xf numFmtId="10" fontId="9" fillId="7" borderId="26" xfId="1" applyNumberFormat="1" applyFont="1" applyFill="1" applyBorder="1" applyAlignment="1">
      <alignment horizontal="center" vertical="top"/>
    </xf>
    <xf numFmtId="10" fontId="9" fillId="7" borderId="66" xfId="1" applyNumberFormat="1" applyFont="1" applyFill="1" applyBorder="1" applyAlignment="1">
      <alignment horizontal="center" vertical="top"/>
    </xf>
    <xf numFmtId="9" fontId="37" fillId="0" borderId="14" xfId="1" applyFont="1" applyFill="1" applyBorder="1" applyAlignment="1">
      <alignment horizontal="center" vertical="top"/>
    </xf>
    <xf numFmtId="9" fontId="37" fillId="0" borderId="15" xfId="1" applyFont="1" applyFill="1" applyBorder="1" applyAlignment="1">
      <alignment horizontal="center" vertical="top"/>
    </xf>
    <xf numFmtId="9" fontId="37" fillId="0" borderId="16" xfId="1" applyFont="1" applyFill="1" applyBorder="1" applyAlignment="1">
      <alignment horizontal="center" vertical="top"/>
    </xf>
    <xf numFmtId="10" fontId="0" fillId="0" borderId="0" xfId="0" applyNumberFormat="1" applyAlignment="1">
      <alignment horizontal="center"/>
    </xf>
    <xf numFmtId="0" fontId="0" fillId="0" borderId="0" xfId="0" applyAlignment="1">
      <alignment horizontal="center"/>
    </xf>
    <xf numFmtId="0" fontId="30" fillId="10" borderId="37" xfId="0" applyFont="1" applyFill="1" applyBorder="1" applyAlignment="1">
      <alignment horizontal="left" wrapText="1"/>
    </xf>
    <xf numFmtId="0" fontId="30" fillId="10" borderId="38" xfId="0" applyFont="1" applyFill="1" applyBorder="1" applyAlignment="1">
      <alignment horizontal="left" wrapText="1"/>
    </xf>
    <xf numFmtId="0" fontId="30" fillId="10" borderId="39" xfId="0" applyFont="1" applyFill="1" applyBorder="1" applyAlignment="1">
      <alignment horizontal="left" wrapText="1"/>
    </xf>
    <xf numFmtId="10" fontId="32" fillId="8" borderId="11" xfId="0" applyNumberFormat="1" applyFont="1" applyFill="1" applyBorder="1" applyAlignment="1">
      <alignment horizontal="center"/>
    </xf>
    <xf numFmtId="10" fontId="32" fillId="8" borderId="21" xfId="0" applyNumberFormat="1" applyFont="1" applyFill="1" applyBorder="1" applyAlignment="1">
      <alignment horizontal="center"/>
    </xf>
    <xf numFmtId="10" fontId="32" fillId="11" borderId="11" xfId="0" applyNumberFormat="1" applyFont="1" applyFill="1" applyBorder="1" applyAlignment="1">
      <alignment horizontal="center"/>
    </xf>
    <xf numFmtId="10" fontId="32" fillId="11" borderId="21" xfId="0" applyNumberFormat="1" applyFont="1" applyFill="1" applyBorder="1" applyAlignment="1">
      <alignment horizontal="center"/>
    </xf>
    <xf numFmtId="10" fontId="32" fillId="5" borderId="28" xfId="0" applyNumberFormat="1" applyFont="1" applyFill="1" applyBorder="1" applyAlignment="1">
      <alignment horizontal="center"/>
    </xf>
    <xf numFmtId="10" fontId="32" fillId="5" borderId="54" xfId="0" applyNumberFormat="1" applyFont="1" applyFill="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9" fillId="7" borderId="24" xfId="0" applyFont="1" applyFill="1" applyBorder="1" applyAlignment="1">
      <alignment horizontal="center" vertical="top"/>
    </xf>
    <xf numFmtId="0" fontId="9" fillId="7" borderId="26" xfId="0" applyFont="1" applyFill="1" applyBorder="1" applyAlignment="1">
      <alignment horizontal="center" vertical="top"/>
    </xf>
    <xf numFmtId="0" fontId="9" fillId="7" borderId="66" xfId="0" applyFont="1" applyFill="1" applyBorder="1" applyAlignment="1">
      <alignment horizontal="center" vertical="top"/>
    </xf>
    <xf numFmtId="0" fontId="32" fillId="12" borderId="37" xfId="0" applyFont="1" applyFill="1" applyBorder="1" applyAlignment="1">
      <alignment horizontal="center" wrapText="1"/>
    </xf>
    <xf numFmtId="0" fontId="32" fillId="12" borderId="38" xfId="0" applyFont="1" applyFill="1" applyBorder="1" applyAlignment="1">
      <alignment horizontal="center" wrapText="1"/>
    </xf>
    <xf numFmtId="0" fontId="32" fillId="12" borderId="39" xfId="0" applyFont="1" applyFill="1" applyBorder="1" applyAlignment="1">
      <alignment horizontal="center" wrapText="1"/>
    </xf>
    <xf numFmtId="10" fontId="32" fillId="0" borderId="11" xfId="0" applyNumberFormat="1" applyFont="1" applyBorder="1" applyAlignment="1">
      <alignment horizontal="center"/>
    </xf>
    <xf numFmtId="10" fontId="32" fillId="0" borderId="21" xfId="0" applyNumberFormat="1" applyFont="1" applyBorder="1" applyAlignment="1">
      <alignment horizontal="center"/>
    </xf>
    <xf numFmtId="10" fontId="32" fillId="0" borderId="28" xfId="0" applyNumberFormat="1" applyFont="1" applyBorder="1" applyAlignment="1">
      <alignment horizontal="center"/>
    </xf>
    <xf numFmtId="10" fontId="32" fillId="0" borderId="54" xfId="0" applyNumberFormat="1" applyFont="1" applyBorder="1" applyAlignment="1">
      <alignment horizontal="center"/>
    </xf>
    <xf numFmtId="0" fontId="9" fillId="16" borderId="24" xfId="0" applyFont="1" applyFill="1" applyBorder="1" applyAlignment="1">
      <alignment horizontal="center"/>
    </xf>
    <xf numFmtId="0" fontId="9" fillId="16" borderId="26" xfId="0" applyFont="1" applyFill="1" applyBorder="1" applyAlignment="1">
      <alignment horizontal="center"/>
    </xf>
    <xf numFmtId="0" fontId="9" fillId="16" borderId="66" xfId="0" applyFont="1" applyFill="1" applyBorder="1" applyAlignment="1">
      <alignment horizontal="center"/>
    </xf>
    <xf numFmtId="9" fontId="37" fillId="16" borderId="14" xfId="1" applyFont="1" applyFill="1" applyBorder="1" applyAlignment="1">
      <alignment horizontal="center"/>
    </xf>
    <xf numFmtId="9" fontId="37" fillId="16" borderId="15" xfId="1" applyFont="1" applyFill="1" applyBorder="1" applyAlignment="1">
      <alignment horizontal="center"/>
    </xf>
    <xf numFmtId="9" fontId="37" fillId="16" borderId="16" xfId="1" applyFont="1" applyFill="1" applyBorder="1" applyAlignment="1">
      <alignment horizontal="center"/>
    </xf>
    <xf numFmtId="9" fontId="33" fillId="8" borderId="94" xfId="0" applyNumberFormat="1" applyFont="1" applyFill="1" applyBorder="1" applyAlignment="1">
      <alignment horizontal="center"/>
    </xf>
    <xf numFmtId="0" fontId="33" fillId="8" borderId="102" xfId="0" applyFont="1" applyFill="1" applyBorder="1" applyAlignment="1">
      <alignment horizontal="center"/>
    </xf>
    <xf numFmtId="0" fontId="34" fillId="15" borderId="14" xfId="0" applyFont="1" applyFill="1" applyBorder="1" applyAlignment="1">
      <alignment wrapText="1"/>
    </xf>
    <xf numFmtId="0" fontId="34" fillId="15" borderId="16" xfId="0" applyFont="1" applyFill="1" applyBorder="1" applyAlignment="1">
      <alignment wrapText="1"/>
    </xf>
    <xf numFmtId="0" fontId="34" fillId="16" borderId="6" xfId="0" applyFont="1" applyFill="1" applyBorder="1" applyAlignment="1">
      <alignment horizontal="center" wrapText="1"/>
    </xf>
    <xf numFmtId="0" fontId="34" fillId="16" borderId="7" xfId="0" applyFont="1" applyFill="1" applyBorder="1" applyAlignment="1">
      <alignment horizontal="center" wrapText="1"/>
    </xf>
    <xf numFmtId="0" fontId="34" fillId="16" borderId="8" xfId="0" applyFont="1" applyFill="1" applyBorder="1" applyAlignment="1">
      <alignment horizontal="center" wrapText="1"/>
    </xf>
    <xf numFmtId="0" fontId="34" fillId="16" borderId="10" xfId="0" applyFont="1" applyFill="1" applyBorder="1" applyAlignment="1">
      <alignment horizontal="center" wrapText="1"/>
    </xf>
    <xf numFmtId="0" fontId="50" fillId="0" borderId="0" xfId="0" applyFont="1" applyAlignment="1">
      <alignment horizontal="center"/>
    </xf>
    <xf numFmtId="9" fontId="49" fillId="0" borderId="94" xfId="1" applyFont="1" applyBorder="1" applyAlignment="1">
      <alignment horizontal="center"/>
    </xf>
    <xf numFmtId="9" fontId="49" fillId="0" borderId="102" xfId="1" applyFont="1" applyBorder="1" applyAlignment="1">
      <alignment horizontal="center"/>
    </xf>
    <xf numFmtId="9" fontId="32" fillId="0" borderId="11" xfId="0" applyNumberFormat="1" applyFont="1" applyBorder="1" applyAlignment="1">
      <alignment horizontal="center"/>
    </xf>
    <xf numFmtId="9" fontId="32" fillId="0" borderId="21" xfId="0" applyNumberFormat="1" applyFont="1" applyBorder="1" applyAlignment="1">
      <alignment horizontal="center"/>
    </xf>
    <xf numFmtId="9" fontId="32" fillId="0" borderId="28" xfId="0" applyNumberFormat="1" applyFont="1" applyBorder="1" applyAlignment="1">
      <alignment horizontal="center"/>
    </xf>
    <xf numFmtId="9" fontId="32" fillId="0" borderId="54" xfId="0" applyNumberFormat="1" applyFont="1" applyBorder="1" applyAlignment="1">
      <alignment horizontal="center"/>
    </xf>
    <xf numFmtId="0" fontId="32" fillId="0" borderId="76" xfId="0" applyFont="1" applyBorder="1" applyAlignment="1">
      <alignment horizontal="center"/>
    </xf>
  </cellXfs>
  <cellStyles count="3">
    <cellStyle name="Comma" xfId="2" builtinId="3"/>
    <cellStyle name="Normal" xfId="0" builtinId="0"/>
    <cellStyle name="Percent" xfId="1" builtinId="5"/>
  </cellStyles>
  <dxfs count="721">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0000"/>
        </patternFill>
      </fill>
    </dxf>
    <dxf>
      <fill>
        <patternFill>
          <bgColor rgb="FFFF0000"/>
        </patternFill>
      </fill>
    </dxf>
    <dxf>
      <fill>
        <patternFill>
          <bgColor theme="4" tint="0.39994506668294322"/>
        </patternFill>
      </fill>
    </dxf>
    <dxf>
      <fill>
        <patternFill>
          <bgColor rgb="FFFFC000"/>
        </patternFill>
      </fill>
    </dxf>
    <dxf>
      <fill>
        <patternFill>
          <bgColor theme="4" tint="0.59996337778862885"/>
        </patternFill>
      </fill>
    </dxf>
    <dxf>
      <fill>
        <patternFill>
          <bgColor theme="9" tint="0.39994506668294322"/>
        </patternFill>
      </fill>
    </dxf>
  </dxfs>
  <tableStyles count="0" defaultTableStyle="TableStyleMedium2" defaultPivotStyle="PivotStyleLight16"/>
  <colors>
    <mruColors>
      <color rgb="FFE9D8BE"/>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ZA" b="1"/>
              <a:t>SUMMARY</a:t>
            </a:r>
            <a:r>
              <a:rPr lang="en-ZA" b="1" baseline="0"/>
              <a:t> ANNUAL PERFORMANCE_2021-2022</a:t>
            </a:r>
            <a:endParaRPr lang="en-ZA" b="1"/>
          </a:p>
          <a:p>
            <a:pPr>
              <a:defRPr/>
            </a:pPr>
            <a:endParaRPr lang="en-Z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0228578939456696"/>
          <c:y val="0.21440092880927838"/>
          <c:w val="0.31366078691166588"/>
          <c:h val="0.78559907119072159"/>
        </c:manualLayout>
      </c:layout>
      <c:pieChart>
        <c:varyColors val="1"/>
        <c:ser>
          <c:idx val="0"/>
          <c:order val="0"/>
          <c:explosion val="6"/>
          <c:dPt>
            <c:idx val="0"/>
            <c:bubble3D val="0"/>
            <c:spPr>
              <a:solidFill>
                <a:srgbClr val="92D050"/>
              </a:solidFill>
              <a:ln w="19050">
                <a:solidFill>
                  <a:schemeClr val="lt1"/>
                </a:solidFill>
              </a:ln>
              <a:effectLst/>
            </c:spPr>
            <c:extLst>
              <c:ext xmlns:c16="http://schemas.microsoft.com/office/drawing/2014/chart" uri="{C3380CC4-5D6E-409C-BE32-E72D297353CC}">
                <c16:uniqueId val="{00000001-074E-49E0-BD8C-6CA9C4E670B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074E-49E0-BD8C-6CA9C4E670B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074E-49E0-BD8C-6CA9C4E670B9}"/>
              </c:ext>
            </c:extLst>
          </c:dPt>
          <c:dLbls>
            <c:dLbl>
              <c:idx val="0"/>
              <c:layout>
                <c:manualLayout>
                  <c:x val="-0.14557666485067836"/>
                  <c:y val="-9.8452736312921854E-2"/>
                </c:manualLayout>
              </c:layout>
              <c:spPr>
                <a:noFill/>
                <a:ln>
                  <a:noFill/>
                </a:ln>
                <a:effectLst/>
              </c:spPr>
              <c:txPr>
                <a:bodyPr rot="0" spcFirstLastPara="1" vertOverflow="ellipsis" vert="horz" wrap="square" lIns="38100" tIns="19050" rIns="38100" bIns="19050" anchor="ctr" anchorCtr="1">
                  <a:no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20292977889399524"/>
                      <c:h val="0.25165599062257749"/>
                    </c:manualLayout>
                  </c15:layout>
                </c:ext>
                <c:ext xmlns:c16="http://schemas.microsoft.com/office/drawing/2014/chart" uri="{C3380CC4-5D6E-409C-BE32-E72D297353CC}">
                  <c16:uniqueId val="{00000001-074E-49E0-BD8C-6CA9C4E670B9}"/>
                </c:ext>
              </c:extLst>
            </c:dLbl>
            <c:dLbl>
              <c:idx val="1"/>
              <c:layout>
                <c:manualLayout>
                  <c:x val="-5.3080356328725341E-2"/>
                  <c:y val="-3.1869196478784549E-2"/>
                </c:manualLayout>
              </c:layout>
              <c:spPr>
                <a:noFill/>
                <a:ln>
                  <a:noFill/>
                </a:ln>
                <a:effectLst/>
              </c:spPr>
              <c:txPr>
                <a:bodyPr rot="0" spcFirstLastPara="1" vertOverflow="ellipsis" vert="horz" wrap="square" lIns="38100" tIns="19050" rIns="38100" bIns="19050" anchor="ctr" anchorCtr="1">
                  <a:no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22072176139626418"/>
                      <c:h val="0.20280800486694772"/>
                    </c:manualLayout>
                  </c15:layout>
                </c:ext>
                <c:ext xmlns:c16="http://schemas.microsoft.com/office/drawing/2014/chart" uri="{C3380CC4-5D6E-409C-BE32-E72D297353CC}">
                  <c16:uniqueId val="{00000003-074E-49E0-BD8C-6CA9C4E670B9}"/>
                </c:ext>
              </c:extLst>
            </c:dLbl>
            <c:dLbl>
              <c:idx val="2"/>
              <c:layout>
                <c:manualLayout>
                  <c:x val="4.4116415396243131E-3"/>
                  <c:y val="-0.1022421936360866"/>
                </c:manualLayout>
              </c:layout>
              <c:spPr>
                <a:noFill/>
                <a:ln>
                  <a:noFill/>
                </a:ln>
                <a:effectLst/>
              </c:spPr>
              <c:txPr>
                <a:bodyPr rot="0" spcFirstLastPara="1" vertOverflow="ellipsis" vert="horz" wrap="square" lIns="38100" tIns="19050" rIns="38100" bIns="19050" anchor="ctr" anchorCtr="1">
                  <a:no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7852547420210127"/>
                      <c:h val="0.2011313253766974"/>
                    </c:manualLayout>
                  </c15:layout>
                </c:ext>
                <c:ext xmlns:c16="http://schemas.microsoft.com/office/drawing/2014/chart" uri="{C3380CC4-5D6E-409C-BE32-E72D297353CC}">
                  <c16:uniqueId val="{00000005-074E-49E0-BD8C-6CA9C4E670B9}"/>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Summary_APR_2022!$F$17:$F$19</c:f>
              <c:strCache>
                <c:ptCount val="3"/>
                <c:pt idx="0">
                  <c:v>Achieved</c:v>
                </c:pt>
                <c:pt idx="1">
                  <c:v>Part Achieved</c:v>
                </c:pt>
                <c:pt idx="2">
                  <c:v>Not Achieved</c:v>
                </c:pt>
              </c:strCache>
            </c:strRef>
          </c:cat>
          <c:val>
            <c:numRef>
              <c:f>Summary_APR_2022!$G$17:$G$19</c:f>
              <c:numCache>
                <c:formatCode>0.00%</c:formatCode>
                <c:ptCount val="3"/>
                <c:pt idx="0">
                  <c:v>0.53703703703703709</c:v>
                </c:pt>
                <c:pt idx="1">
                  <c:v>9.2592592592592587E-2</c:v>
                </c:pt>
                <c:pt idx="2">
                  <c:v>0.3888888888888889</c:v>
                </c:pt>
              </c:numCache>
            </c:numRef>
          </c:val>
          <c:extLst>
            <c:ext xmlns:c16="http://schemas.microsoft.com/office/drawing/2014/chart" uri="{C3380CC4-5D6E-409C-BE32-E72D297353CC}">
              <c16:uniqueId val="{00000006-074E-49E0-BD8C-6CA9C4E670B9}"/>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8-074E-49E0-BD8C-6CA9C4E670B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A-074E-49E0-BD8C-6CA9C4E670B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C-074E-49E0-BD8C-6CA9C4E670B9}"/>
              </c:ext>
            </c:extLst>
          </c:dPt>
          <c:cat>
            <c:strRef>
              <c:f>Summary_APR_2022!$F$17:$F$19</c:f>
              <c:strCache>
                <c:ptCount val="3"/>
                <c:pt idx="0">
                  <c:v>Achieved</c:v>
                </c:pt>
                <c:pt idx="1">
                  <c:v>Part Achieved</c:v>
                </c:pt>
                <c:pt idx="2">
                  <c:v>Not Achieved</c:v>
                </c:pt>
              </c:strCache>
            </c:strRef>
          </c:cat>
          <c:val>
            <c:numRef>
              <c:f>Summary_APR_2022!$H$17:$H$19</c:f>
              <c:numCache>
                <c:formatCode>0.00%</c:formatCode>
                <c:ptCount val="3"/>
              </c:numCache>
            </c:numRef>
          </c:val>
          <c:extLst>
            <c:ext xmlns:c16="http://schemas.microsoft.com/office/drawing/2014/chart" uri="{C3380CC4-5D6E-409C-BE32-E72D297353CC}">
              <c16:uniqueId val="{0000000D-074E-49E0-BD8C-6CA9C4E670B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4559502831055902"/>
          <c:y val="0.13142286790443075"/>
          <c:w val="0.24944394549890844"/>
          <c:h val="0.76850535555337296"/>
        </c:manualLayout>
      </c:layout>
      <c:overlay val="0"/>
      <c:spPr>
        <a:noFill/>
        <a:ln>
          <a:noFill/>
        </a:ln>
        <a:effectLst/>
      </c:spPr>
      <c:txPr>
        <a:bodyPr rot="0" spcFirstLastPara="1" vertOverflow="ellipsis" vert="horz" wrap="square" anchor="ctr" anchorCtr="1"/>
        <a:lstStyle/>
        <a:p>
          <a:pPr rtl="0">
            <a:defRPr sz="18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ZA" b="1"/>
              <a:t>Summary Performance by Strategic Programme 2021-2022</a:t>
            </a:r>
          </a:p>
        </c:rich>
      </c:tx>
      <c:layout>
        <c:manualLayout>
          <c:xMode val="edge"/>
          <c:yMode val="edge"/>
          <c:x val="0.31060540044221574"/>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9595955693007265E-2"/>
          <c:y val="0.10197679502298938"/>
          <c:w val="0.82847544624861158"/>
          <c:h val="0.60818079603856023"/>
        </c:manualLayout>
      </c:layout>
      <c:barChart>
        <c:barDir val="col"/>
        <c:grouping val="clustered"/>
        <c:varyColors val="0"/>
        <c:ser>
          <c:idx val="0"/>
          <c:order val="0"/>
          <c:tx>
            <c:strRef>
              <c:f>Summary_APR_2022!$O$16</c:f>
              <c:strCache>
                <c:ptCount val="1"/>
                <c:pt idx="0">
                  <c:v>Achieved</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Summary_APR_2022!$N$17:$N$20</c:f>
              <c:strCache>
                <c:ptCount val="4"/>
                <c:pt idx="0">
                  <c:v>TO DEVELOP A PROFICIENT, VIABLE AND SELF-SUSTIANBALE ENTITY BY 2025</c:v>
                </c:pt>
                <c:pt idx="1">
                  <c:v>TO MOBILISE FUNDING AND FACILITATE INVESTMENT PROMOTION INTO THE DISTRICT BY 2025</c:v>
                </c:pt>
                <c:pt idx="2">
                  <c:v>TO DEVELOP ECONOMICALLY VIABLE AND SUSTAINABLE RURAL CORRIDORS BY 2025</c:v>
                </c:pt>
                <c:pt idx="3">
                  <c:v>TO SUPORT IMPLEMENTATION OF INFRASTRUCTURE PROJECTS IN THE DISTRICT BY 2025</c:v>
                </c:pt>
              </c:strCache>
            </c:strRef>
          </c:cat>
          <c:val>
            <c:numRef>
              <c:f>Summary_APR_2022!$O$17:$O$20</c:f>
              <c:numCache>
                <c:formatCode>0%</c:formatCode>
                <c:ptCount val="4"/>
                <c:pt idx="0">
                  <c:v>0.34615384615384615</c:v>
                </c:pt>
                <c:pt idx="1">
                  <c:v>0.75</c:v>
                </c:pt>
                <c:pt idx="2">
                  <c:v>0.68181818181818177</c:v>
                </c:pt>
                <c:pt idx="3">
                  <c:v>1</c:v>
                </c:pt>
              </c:numCache>
            </c:numRef>
          </c:val>
          <c:extLst>
            <c:ext xmlns:c16="http://schemas.microsoft.com/office/drawing/2014/chart" uri="{C3380CC4-5D6E-409C-BE32-E72D297353CC}">
              <c16:uniqueId val="{00000000-2A3D-4929-AB88-C5FD58C46893}"/>
            </c:ext>
          </c:extLst>
        </c:ser>
        <c:ser>
          <c:idx val="1"/>
          <c:order val="1"/>
          <c:tx>
            <c:strRef>
              <c:f>Summary_APR_2022!$P$16</c:f>
              <c:strCache>
                <c:ptCount val="1"/>
                <c:pt idx="0">
                  <c:v>Part Achieved</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Summary_APR_2022!$N$17:$N$20</c:f>
              <c:strCache>
                <c:ptCount val="4"/>
                <c:pt idx="0">
                  <c:v>TO DEVELOP A PROFICIENT, VIABLE AND SELF-SUSTIANBALE ENTITY BY 2025</c:v>
                </c:pt>
                <c:pt idx="1">
                  <c:v>TO MOBILISE FUNDING AND FACILITATE INVESTMENT PROMOTION INTO THE DISTRICT BY 2025</c:v>
                </c:pt>
                <c:pt idx="2">
                  <c:v>TO DEVELOP ECONOMICALLY VIABLE AND SUSTAINABLE RURAL CORRIDORS BY 2025</c:v>
                </c:pt>
                <c:pt idx="3">
                  <c:v>TO SUPORT IMPLEMENTATION OF INFRASTRUCTURE PROJECTS IN THE DISTRICT BY 2025</c:v>
                </c:pt>
              </c:strCache>
            </c:strRef>
          </c:cat>
          <c:val>
            <c:numRef>
              <c:f>Summary_APR_2022!$P$17:$P$20</c:f>
              <c:numCache>
                <c:formatCode>0%</c:formatCode>
                <c:ptCount val="4"/>
                <c:pt idx="0">
                  <c:v>0.19230769230769232</c:v>
                </c:pt>
                <c:pt idx="1">
                  <c:v>0</c:v>
                </c:pt>
                <c:pt idx="2">
                  <c:v>0</c:v>
                </c:pt>
                <c:pt idx="3">
                  <c:v>0</c:v>
                </c:pt>
              </c:numCache>
            </c:numRef>
          </c:val>
          <c:extLst>
            <c:ext xmlns:c16="http://schemas.microsoft.com/office/drawing/2014/chart" uri="{C3380CC4-5D6E-409C-BE32-E72D297353CC}">
              <c16:uniqueId val="{00000001-2A3D-4929-AB88-C5FD58C46893}"/>
            </c:ext>
          </c:extLst>
        </c:ser>
        <c:ser>
          <c:idx val="2"/>
          <c:order val="2"/>
          <c:tx>
            <c:strRef>
              <c:f>Summary_APR_2022!$Q$16</c:f>
              <c:strCache>
                <c:ptCount val="1"/>
                <c:pt idx="0">
                  <c:v>Not Achieved</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Summary_APR_2022!$N$17:$N$20</c:f>
              <c:strCache>
                <c:ptCount val="4"/>
                <c:pt idx="0">
                  <c:v>TO DEVELOP A PROFICIENT, VIABLE AND SELF-SUSTIANBALE ENTITY BY 2025</c:v>
                </c:pt>
                <c:pt idx="1">
                  <c:v>TO MOBILISE FUNDING AND FACILITATE INVESTMENT PROMOTION INTO THE DISTRICT BY 2025</c:v>
                </c:pt>
                <c:pt idx="2">
                  <c:v>TO DEVELOP ECONOMICALLY VIABLE AND SUSTAINABLE RURAL CORRIDORS BY 2025</c:v>
                </c:pt>
                <c:pt idx="3">
                  <c:v>TO SUPORT IMPLEMENTATION OF INFRASTRUCTURE PROJECTS IN THE DISTRICT BY 2025</c:v>
                </c:pt>
              </c:strCache>
            </c:strRef>
          </c:cat>
          <c:val>
            <c:numRef>
              <c:f>Summary_APR_2022!$Q$17:$Q$20</c:f>
              <c:numCache>
                <c:formatCode>0%</c:formatCode>
                <c:ptCount val="4"/>
                <c:pt idx="0">
                  <c:v>0.46153846153846156</c:v>
                </c:pt>
                <c:pt idx="1">
                  <c:v>0.25</c:v>
                </c:pt>
                <c:pt idx="2">
                  <c:v>0.36363636363636365</c:v>
                </c:pt>
                <c:pt idx="3">
                  <c:v>0</c:v>
                </c:pt>
              </c:numCache>
            </c:numRef>
          </c:val>
          <c:extLst>
            <c:ext xmlns:c16="http://schemas.microsoft.com/office/drawing/2014/chart" uri="{C3380CC4-5D6E-409C-BE32-E72D297353CC}">
              <c16:uniqueId val="{00000002-2A3D-4929-AB88-C5FD58C46893}"/>
            </c:ext>
          </c:extLst>
        </c:ser>
        <c:dLbls>
          <c:showLegendKey val="0"/>
          <c:showVal val="0"/>
          <c:showCatName val="0"/>
          <c:showSerName val="0"/>
          <c:showPercent val="0"/>
          <c:showBubbleSize val="0"/>
        </c:dLbls>
        <c:gapWidth val="219"/>
        <c:overlap val="-27"/>
        <c:axId val="383271280"/>
        <c:axId val="383277552"/>
      </c:barChart>
      <c:catAx>
        <c:axId val="383271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383277552"/>
        <c:crosses val="autoZero"/>
        <c:auto val="1"/>
        <c:lblAlgn val="ctr"/>
        <c:lblOffset val="100"/>
        <c:noMultiLvlLbl val="0"/>
      </c:catAx>
      <c:valAx>
        <c:axId val="383277552"/>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3271280"/>
        <c:crosses val="autoZero"/>
        <c:crossBetween val="between"/>
      </c:valAx>
      <c:spPr>
        <a:noFill/>
        <a:ln>
          <a:noFill/>
        </a:ln>
        <a:effectLst/>
      </c:spPr>
    </c:plotArea>
    <c:legend>
      <c:legendPos val="r"/>
      <c:layout>
        <c:manualLayout>
          <c:xMode val="edge"/>
          <c:yMode val="edge"/>
          <c:x val="0.86108738550349029"/>
          <c:y val="4.1347414842011175E-2"/>
          <c:w val="0.13891261449650988"/>
          <c:h val="0.36981460556998125"/>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ZA" b="1"/>
              <a:t>SUMMARY</a:t>
            </a:r>
            <a:r>
              <a:rPr lang="en-ZA" b="1" baseline="0"/>
              <a:t> ANNUAL PERFORMANCE_2020-21</a:t>
            </a:r>
            <a:endParaRPr lang="en-ZA" b="1"/>
          </a:p>
          <a:p>
            <a:pPr>
              <a:defRPr/>
            </a:pPr>
            <a:endParaRPr lang="en-Z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0228578939456696"/>
          <c:y val="0.21440092880927838"/>
          <c:w val="0.31366078691166588"/>
          <c:h val="0.78559907119072159"/>
        </c:manualLayout>
      </c:layout>
      <c:pieChart>
        <c:varyColors val="1"/>
        <c:ser>
          <c:idx val="0"/>
          <c:order val="0"/>
          <c:explosion val="6"/>
          <c:dPt>
            <c:idx val="0"/>
            <c:bubble3D val="0"/>
            <c:spPr>
              <a:solidFill>
                <a:srgbClr val="92D050"/>
              </a:solidFill>
              <a:ln w="19050">
                <a:solidFill>
                  <a:schemeClr val="lt1"/>
                </a:solidFill>
              </a:ln>
              <a:effectLst/>
            </c:spPr>
            <c:extLst>
              <c:ext xmlns:c16="http://schemas.microsoft.com/office/drawing/2014/chart" uri="{C3380CC4-5D6E-409C-BE32-E72D297353CC}">
                <c16:uniqueId val="{00000001-ECC7-4917-AEF2-19803C0046B1}"/>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ECC7-4917-AEF2-19803C0046B1}"/>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ECC7-4917-AEF2-19803C0046B1}"/>
              </c:ext>
            </c:extLst>
          </c:dPt>
          <c:dLbls>
            <c:dLbl>
              <c:idx val="0"/>
              <c:layout>
                <c:manualLayout>
                  <c:x val="-0.14557666485067836"/>
                  <c:y val="-9.8452736312921854E-2"/>
                </c:manualLayout>
              </c:layout>
              <c:spPr>
                <a:noFill/>
                <a:ln>
                  <a:noFill/>
                </a:ln>
                <a:effectLst/>
              </c:spPr>
              <c:txPr>
                <a:bodyPr rot="0" spcFirstLastPara="1" vertOverflow="ellipsis" vert="horz" wrap="square" lIns="38100" tIns="19050" rIns="38100" bIns="19050" anchor="ctr" anchorCtr="1">
                  <a:no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20292977889399524"/>
                      <c:h val="0.25165599062257749"/>
                    </c:manualLayout>
                  </c15:layout>
                </c:ext>
                <c:ext xmlns:c16="http://schemas.microsoft.com/office/drawing/2014/chart" uri="{C3380CC4-5D6E-409C-BE32-E72D297353CC}">
                  <c16:uniqueId val="{00000001-ECC7-4917-AEF2-19803C0046B1}"/>
                </c:ext>
              </c:extLst>
            </c:dLbl>
            <c:dLbl>
              <c:idx val="1"/>
              <c:layout>
                <c:manualLayout>
                  <c:x val="-5.3080356328725341E-2"/>
                  <c:y val="-3.1869196478784549E-2"/>
                </c:manualLayout>
              </c:layout>
              <c:spPr>
                <a:noFill/>
                <a:ln>
                  <a:noFill/>
                </a:ln>
                <a:effectLst/>
              </c:spPr>
              <c:txPr>
                <a:bodyPr rot="0" spcFirstLastPara="1" vertOverflow="ellipsis" vert="horz" wrap="square" lIns="38100" tIns="19050" rIns="38100" bIns="19050" anchor="ctr" anchorCtr="1">
                  <a:no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22072176139626418"/>
                      <c:h val="0.20280800486694772"/>
                    </c:manualLayout>
                  </c15:layout>
                </c:ext>
                <c:ext xmlns:c16="http://schemas.microsoft.com/office/drawing/2014/chart" uri="{C3380CC4-5D6E-409C-BE32-E72D297353CC}">
                  <c16:uniqueId val="{00000003-ECC7-4917-AEF2-19803C0046B1}"/>
                </c:ext>
              </c:extLst>
            </c:dLbl>
            <c:dLbl>
              <c:idx val="2"/>
              <c:layout>
                <c:manualLayout>
                  <c:x val="4.4116415396243131E-3"/>
                  <c:y val="-0.1022421936360866"/>
                </c:manualLayout>
              </c:layout>
              <c:spPr>
                <a:noFill/>
                <a:ln>
                  <a:noFill/>
                </a:ln>
                <a:effectLst/>
              </c:spPr>
              <c:txPr>
                <a:bodyPr rot="0" spcFirstLastPara="1" vertOverflow="ellipsis" vert="horz" wrap="square" lIns="38100" tIns="19050" rIns="38100" bIns="19050" anchor="ctr" anchorCtr="1">
                  <a:no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7852547420210127"/>
                      <c:h val="0.2011313253766974"/>
                    </c:manualLayout>
                  </c15:layout>
                </c:ext>
                <c:ext xmlns:c16="http://schemas.microsoft.com/office/drawing/2014/chart" uri="{C3380CC4-5D6E-409C-BE32-E72D297353CC}">
                  <c16:uniqueId val="{00000005-ECC7-4917-AEF2-19803C0046B1}"/>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Summary_APR_2021!$F$17:$F$19</c:f>
              <c:strCache>
                <c:ptCount val="3"/>
                <c:pt idx="0">
                  <c:v>Achieved</c:v>
                </c:pt>
                <c:pt idx="1">
                  <c:v>Part Achieved</c:v>
                </c:pt>
                <c:pt idx="2">
                  <c:v>Not Achieved</c:v>
                </c:pt>
              </c:strCache>
            </c:strRef>
          </c:cat>
          <c:val>
            <c:numRef>
              <c:f>Summary_APR_2021!$G$17:$G$19</c:f>
              <c:numCache>
                <c:formatCode>0.00%</c:formatCode>
                <c:ptCount val="3"/>
                <c:pt idx="0">
                  <c:v>0.42424242424242425</c:v>
                </c:pt>
                <c:pt idx="1">
                  <c:v>0.12121212121212122</c:v>
                </c:pt>
                <c:pt idx="2">
                  <c:v>0.45454545454545453</c:v>
                </c:pt>
              </c:numCache>
            </c:numRef>
          </c:val>
          <c:extLst>
            <c:ext xmlns:c16="http://schemas.microsoft.com/office/drawing/2014/chart" uri="{C3380CC4-5D6E-409C-BE32-E72D297353CC}">
              <c16:uniqueId val="{00000006-ECC7-4917-AEF2-19803C0046B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8-ECC7-4917-AEF2-19803C0046B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A-ECC7-4917-AEF2-19803C0046B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C-ECC7-4917-AEF2-19803C0046B1}"/>
              </c:ext>
            </c:extLst>
          </c:dPt>
          <c:cat>
            <c:strRef>
              <c:f>Summary_APR_2021!$F$17:$F$19</c:f>
              <c:strCache>
                <c:ptCount val="3"/>
                <c:pt idx="0">
                  <c:v>Achieved</c:v>
                </c:pt>
                <c:pt idx="1">
                  <c:v>Part Achieved</c:v>
                </c:pt>
                <c:pt idx="2">
                  <c:v>Not Achieved</c:v>
                </c:pt>
              </c:strCache>
            </c:strRef>
          </c:cat>
          <c:val>
            <c:numRef>
              <c:f>Summary_APR_2021!$H$17:$H$19</c:f>
              <c:numCache>
                <c:formatCode>0.00%</c:formatCode>
                <c:ptCount val="3"/>
              </c:numCache>
            </c:numRef>
          </c:val>
          <c:extLst>
            <c:ext xmlns:c16="http://schemas.microsoft.com/office/drawing/2014/chart" uri="{C3380CC4-5D6E-409C-BE32-E72D297353CC}">
              <c16:uniqueId val="{0000000D-ECC7-4917-AEF2-19803C0046B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4559502831055902"/>
          <c:y val="0.13142286790443075"/>
          <c:w val="0.24944394549890844"/>
          <c:h val="0.76850535555337296"/>
        </c:manualLayout>
      </c:layout>
      <c:overlay val="0"/>
      <c:spPr>
        <a:noFill/>
        <a:ln>
          <a:noFill/>
        </a:ln>
        <a:effectLst/>
      </c:spPr>
      <c:txPr>
        <a:bodyPr rot="0" spcFirstLastPara="1" vertOverflow="ellipsis" vert="horz" wrap="square" anchor="ctr" anchorCtr="1"/>
        <a:lstStyle/>
        <a:p>
          <a:pPr rtl="0">
            <a:defRPr sz="18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ZA" b="1"/>
              <a:t>Summary Performance by Strategic Programme</a:t>
            </a:r>
          </a:p>
        </c:rich>
      </c:tx>
      <c:layout>
        <c:manualLayout>
          <c:xMode val="edge"/>
          <c:yMode val="edge"/>
          <c:x val="0.31060540044221574"/>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9595955693007265E-2"/>
          <c:y val="0.10197679502298938"/>
          <c:w val="0.82847544624861158"/>
          <c:h val="0.60818079603856023"/>
        </c:manualLayout>
      </c:layout>
      <c:barChart>
        <c:barDir val="col"/>
        <c:grouping val="clustered"/>
        <c:varyColors val="0"/>
        <c:ser>
          <c:idx val="0"/>
          <c:order val="0"/>
          <c:tx>
            <c:strRef>
              <c:f>Summary_APR_2021!$O$16</c:f>
              <c:strCache>
                <c:ptCount val="1"/>
                <c:pt idx="0">
                  <c:v>Achieved</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Summary_APR_2021!$N$17:$N$20</c:f>
              <c:strCache>
                <c:ptCount val="4"/>
                <c:pt idx="0">
                  <c:v>TO DEVELOP A PROFICIENT, VIABLE AND SELF-SUSTIANBALE ENTITY BY 2025</c:v>
                </c:pt>
                <c:pt idx="1">
                  <c:v>TO MOBILISE FUNDING AND FACILITATE INVESTMENT PROMOTION INTO THE DISTRICT BY 2025</c:v>
                </c:pt>
                <c:pt idx="2">
                  <c:v>TO DEVELOP ECONOMICALLY VIABLE AND SUSTAINABLE RURAL CORRIDORS BY 2025</c:v>
                </c:pt>
                <c:pt idx="3">
                  <c:v>TO SUPORT IMPLEMENTATION OF INFRASTRUCTURE PROJECTS IN THE DISTRICT BY 2025</c:v>
                </c:pt>
              </c:strCache>
            </c:strRef>
          </c:cat>
          <c:val>
            <c:numRef>
              <c:f>Summary_APR_2021!$O$17:$O$20</c:f>
              <c:numCache>
                <c:formatCode>0%</c:formatCode>
                <c:ptCount val="4"/>
                <c:pt idx="0">
                  <c:v>0.2</c:v>
                </c:pt>
                <c:pt idx="1">
                  <c:v>0.33333333333333331</c:v>
                </c:pt>
                <c:pt idx="2">
                  <c:v>0.45833333333333331</c:v>
                </c:pt>
                <c:pt idx="3">
                  <c:v>1</c:v>
                </c:pt>
              </c:numCache>
            </c:numRef>
          </c:val>
          <c:extLst>
            <c:ext xmlns:c16="http://schemas.microsoft.com/office/drawing/2014/chart" uri="{C3380CC4-5D6E-409C-BE32-E72D297353CC}">
              <c16:uniqueId val="{00000000-D975-47E7-9965-2148296CF45F}"/>
            </c:ext>
          </c:extLst>
        </c:ser>
        <c:ser>
          <c:idx val="1"/>
          <c:order val="1"/>
          <c:tx>
            <c:strRef>
              <c:f>Summary_APR_2021!$P$16</c:f>
              <c:strCache>
                <c:ptCount val="1"/>
                <c:pt idx="0">
                  <c:v>Part Achieved</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Summary_APR_2021!$N$17:$N$20</c:f>
              <c:strCache>
                <c:ptCount val="4"/>
                <c:pt idx="0">
                  <c:v>TO DEVELOP A PROFICIENT, VIABLE AND SELF-SUSTIANBALE ENTITY BY 2025</c:v>
                </c:pt>
                <c:pt idx="1">
                  <c:v>TO MOBILISE FUNDING AND FACILITATE INVESTMENT PROMOTION INTO THE DISTRICT BY 2025</c:v>
                </c:pt>
                <c:pt idx="2">
                  <c:v>TO DEVELOP ECONOMICALLY VIABLE AND SUSTAINABLE RURAL CORRIDORS BY 2025</c:v>
                </c:pt>
                <c:pt idx="3">
                  <c:v>TO SUPORT IMPLEMENTATION OF INFRASTRUCTURE PROJECTS IN THE DISTRICT BY 2025</c:v>
                </c:pt>
              </c:strCache>
            </c:strRef>
          </c:cat>
          <c:val>
            <c:numRef>
              <c:f>Summary_APR_2021!$P$17:$P$20</c:f>
              <c:numCache>
                <c:formatCode>0%</c:formatCode>
                <c:ptCount val="4"/>
                <c:pt idx="0">
                  <c:v>0.4</c:v>
                </c:pt>
                <c:pt idx="1">
                  <c:v>0</c:v>
                </c:pt>
                <c:pt idx="2">
                  <c:v>8.3333333333333329E-2</c:v>
                </c:pt>
                <c:pt idx="3">
                  <c:v>0</c:v>
                </c:pt>
              </c:numCache>
            </c:numRef>
          </c:val>
          <c:extLst>
            <c:ext xmlns:c16="http://schemas.microsoft.com/office/drawing/2014/chart" uri="{C3380CC4-5D6E-409C-BE32-E72D297353CC}">
              <c16:uniqueId val="{00000001-D975-47E7-9965-2148296CF45F}"/>
            </c:ext>
          </c:extLst>
        </c:ser>
        <c:ser>
          <c:idx val="2"/>
          <c:order val="2"/>
          <c:tx>
            <c:strRef>
              <c:f>Summary_APR_2021!$Q$16</c:f>
              <c:strCache>
                <c:ptCount val="1"/>
                <c:pt idx="0">
                  <c:v>Not Achieved</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Summary_APR_2021!$N$17:$N$20</c:f>
              <c:strCache>
                <c:ptCount val="4"/>
                <c:pt idx="0">
                  <c:v>TO DEVELOP A PROFICIENT, VIABLE AND SELF-SUSTIANBALE ENTITY BY 2025</c:v>
                </c:pt>
                <c:pt idx="1">
                  <c:v>TO MOBILISE FUNDING AND FACILITATE INVESTMENT PROMOTION INTO THE DISTRICT BY 2025</c:v>
                </c:pt>
                <c:pt idx="2">
                  <c:v>TO DEVELOP ECONOMICALLY VIABLE AND SUSTAINABLE RURAL CORRIDORS BY 2025</c:v>
                </c:pt>
                <c:pt idx="3">
                  <c:v>TO SUPORT IMPLEMENTATION OF INFRASTRUCTURE PROJECTS IN THE DISTRICT BY 2025</c:v>
                </c:pt>
              </c:strCache>
            </c:strRef>
          </c:cat>
          <c:val>
            <c:numRef>
              <c:f>Summary_APR_2021!$Q$17:$Q$20</c:f>
              <c:numCache>
                <c:formatCode>0%</c:formatCode>
                <c:ptCount val="4"/>
                <c:pt idx="0">
                  <c:v>0.4</c:v>
                </c:pt>
                <c:pt idx="1">
                  <c:v>0.66666666666666663</c:v>
                </c:pt>
                <c:pt idx="2">
                  <c:v>0.45833333333333331</c:v>
                </c:pt>
                <c:pt idx="3">
                  <c:v>0</c:v>
                </c:pt>
              </c:numCache>
            </c:numRef>
          </c:val>
          <c:extLst>
            <c:ext xmlns:c16="http://schemas.microsoft.com/office/drawing/2014/chart" uri="{C3380CC4-5D6E-409C-BE32-E72D297353CC}">
              <c16:uniqueId val="{00000002-D975-47E7-9965-2148296CF45F}"/>
            </c:ext>
          </c:extLst>
        </c:ser>
        <c:dLbls>
          <c:showLegendKey val="0"/>
          <c:showVal val="0"/>
          <c:showCatName val="0"/>
          <c:showSerName val="0"/>
          <c:showPercent val="0"/>
          <c:showBubbleSize val="0"/>
        </c:dLbls>
        <c:gapWidth val="219"/>
        <c:overlap val="-27"/>
        <c:axId val="383271280"/>
        <c:axId val="383277552"/>
      </c:barChart>
      <c:catAx>
        <c:axId val="383271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383277552"/>
        <c:crosses val="autoZero"/>
        <c:auto val="1"/>
        <c:lblAlgn val="ctr"/>
        <c:lblOffset val="100"/>
        <c:noMultiLvlLbl val="0"/>
      </c:catAx>
      <c:valAx>
        <c:axId val="383277552"/>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3271280"/>
        <c:crosses val="autoZero"/>
        <c:crossBetween val="between"/>
      </c:valAx>
      <c:spPr>
        <a:noFill/>
        <a:ln>
          <a:noFill/>
        </a:ln>
        <a:effectLst/>
      </c:spPr>
    </c:plotArea>
    <c:legend>
      <c:legendPos val="r"/>
      <c:layout>
        <c:manualLayout>
          <c:xMode val="edge"/>
          <c:yMode val="edge"/>
          <c:x val="0.86108738550349029"/>
          <c:y val="4.1347414842011175E-2"/>
          <c:w val="0.13891261449650988"/>
          <c:h val="0.36981460556998125"/>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ZA" b="1"/>
              <a:t>Summary Organisational Performance _ 2020</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0228578939456696"/>
          <c:y val="0.21440092880927838"/>
          <c:w val="0.31366078691166588"/>
          <c:h val="0.78559907119072159"/>
        </c:manualLayout>
      </c:layout>
      <c:pieChart>
        <c:varyColors val="1"/>
        <c:ser>
          <c:idx val="0"/>
          <c:order val="0"/>
          <c:dPt>
            <c:idx val="0"/>
            <c:bubble3D val="0"/>
            <c:spPr>
              <a:solidFill>
                <a:srgbClr val="92D050"/>
              </a:solidFill>
              <a:ln w="34925">
                <a:solidFill>
                  <a:schemeClr val="tx1"/>
                </a:solidFill>
              </a:ln>
              <a:effectLst/>
            </c:spPr>
            <c:extLst>
              <c:ext xmlns:c16="http://schemas.microsoft.com/office/drawing/2014/chart" uri="{C3380CC4-5D6E-409C-BE32-E72D297353CC}">
                <c16:uniqueId val="{00000001-6F6F-4ABF-BB81-BB06EF7F78F0}"/>
              </c:ext>
            </c:extLst>
          </c:dPt>
          <c:dPt>
            <c:idx val="1"/>
            <c:bubble3D val="0"/>
            <c:spPr>
              <a:solidFill>
                <a:srgbClr val="00B0F0"/>
              </a:solidFill>
              <a:ln w="38100">
                <a:solidFill>
                  <a:schemeClr val="tx1"/>
                </a:solidFill>
              </a:ln>
              <a:effectLst/>
            </c:spPr>
            <c:extLst>
              <c:ext xmlns:c16="http://schemas.microsoft.com/office/drawing/2014/chart" uri="{C3380CC4-5D6E-409C-BE32-E72D297353CC}">
                <c16:uniqueId val="{00000003-6F6F-4ABF-BB81-BB06EF7F78F0}"/>
              </c:ext>
            </c:extLst>
          </c:dPt>
          <c:dPt>
            <c:idx val="2"/>
            <c:bubble3D val="0"/>
            <c:spPr>
              <a:solidFill>
                <a:srgbClr val="FF0000"/>
              </a:solidFill>
              <a:ln w="19050">
                <a:solidFill>
                  <a:schemeClr val="tx1"/>
                </a:solidFill>
              </a:ln>
              <a:effectLst/>
            </c:spPr>
            <c:extLst>
              <c:ext xmlns:c16="http://schemas.microsoft.com/office/drawing/2014/chart" uri="{C3380CC4-5D6E-409C-BE32-E72D297353CC}">
                <c16:uniqueId val="{00000005-6F6F-4ABF-BB81-BB06EF7F78F0}"/>
              </c:ext>
            </c:extLst>
          </c:dPt>
          <c:dLbls>
            <c:dLbl>
              <c:idx val="0"/>
              <c:layout>
                <c:manualLayout>
                  <c:x val="9.6380076586356556E-2"/>
                  <c:y val="-0.18631311190236693"/>
                </c:manualLayout>
              </c:layout>
              <c:spPr>
                <a:noFill/>
                <a:ln>
                  <a:noFill/>
                </a:ln>
                <a:effectLst/>
              </c:spPr>
              <c:txPr>
                <a:bodyPr rot="0" spcFirstLastPara="1" vertOverflow="ellipsis" vert="horz" wrap="square" lIns="38100" tIns="19050" rIns="38100" bIns="19050" anchor="ctr" anchorCtr="1">
                  <a:noAutofit/>
                </a:bodyPr>
                <a:lstStyle/>
                <a:p>
                  <a:pPr>
                    <a:defRPr sz="18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25219428714742587"/>
                      <c:h val="0.25165584445078748"/>
                    </c:manualLayout>
                  </c15:layout>
                </c:ext>
                <c:ext xmlns:c16="http://schemas.microsoft.com/office/drawing/2014/chart" uri="{C3380CC4-5D6E-409C-BE32-E72D297353CC}">
                  <c16:uniqueId val="{00000001-6F6F-4ABF-BB81-BB06EF7F78F0}"/>
                </c:ext>
              </c:extLst>
            </c:dLbl>
            <c:dLbl>
              <c:idx val="1"/>
              <c:layout>
                <c:manualLayout>
                  <c:x val="3.4341552158623791E-3"/>
                  <c:y val="4.0766347730001325E-2"/>
                </c:manualLayout>
              </c:layout>
              <c:spPr>
                <a:noFill/>
                <a:ln>
                  <a:noFill/>
                </a:ln>
                <a:effectLst/>
              </c:spPr>
              <c:txPr>
                <a:bodyPr rot="0" spcFirstLastPara="1" vertOverflow="ellipsis" vert="horz" wrap="square" lIns="38100" tIns="19050" rIns="38100" bIns="19050" anchor="ctr" anchorCtr="1">
                  <a:noAutofit/>
                </a:bodyPr>
                <a:lstStyle/>
                <a:p>
                  <a:pPr>
                    <a:defRPr sz="18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34583768795562819"/>
                      <c:h val="0.20280789526906365"/>
                    </c:manualLayout>
                  </c15:layout>
                </c:ext>
                <c:ext xmlns:c16="http://schemas.microsoft.com/office/drawing/2014/chart" uri="{C3380CC4-5D6E-409C-BE32-E72D297353CC}">
                  <c16:uniqueId val="{00000003-6F6F-4ABF-BB81-BB06EF7F78F0}"/>
                </c:ext>
              </c:extLst>
            </c:dLbl>
            <c:dLbl>
              <c:idx val="2"/>
              <c:layout>
                <c:manualLayout>
                  <c:x val="3.021339783367346E-2"/>
                  <c:y val="-0.1143936112023701"/>
                </c:manualLayout>
              </c:layout>
              <c:spPr>
                <a:noFill/>
                <a:ln>
                  <a:noFill/>
                </a:ln>
                <a:effectLst/>
              </c:spPr>
              <c:txPr>
                <a:bodyPr rot="0" spcFirstLastPara="1" vertOverflow="ellipsis" vert="horz" wrap="square" lIns="38100" tIns="19050" rIns="38100" bIns="19050" anchor="ctr" anchorCtr="1">
                  <a:noAutofit/>
                </a:bodyPr>
                <a:lstStyle/>
                <a:p>
                  <a:pPr>
                    <a:defRPr sz="18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29940020174167081"/>
                      <c:h val="0.20113137218621191"/>
                    </c:manualLayout>
                  </c15:layout>
                </c:ext>
                <c:ext xmlns:c16="http://schemas.microsoft.com/office/drawing/2014/chart" uri="{C3380CC4-5D6E-409C-BE32-E72D297353CC}">
                  <c16:uniqueId val="{00000005-6F6F-4ABF-BB81-BB06EF7F78F0}"/>
                </c:ext>
              </c:extLst>
            </c:dLbl>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Summary_APR_2020!$F$18:$F$20</c:f>
              <c:strCache>
                <c:ptCount val="3"/>
                <c:pt idx="0">
                  <c:v>Achieved for the year</c:v>
                </c:pt>
                <c:pt idx="1">
                  <c:v>Part Achieved for the Year</c:v>
                </c:pt>
                <c:pt idx="2">
                  <c:v>Not Achieved for the Year </c:v>
                </c:pt>
              </c:strCache>
            </c:strRef>
          </c:cat>
          <c:val>
            <c:numRef>
              <c:f>Summary_APR_2020!$G$18:$G$20</c:f>
              <c:numCache>
                <c:formatCode>0%</c:formatCode>
                <c:ptCount val="3"/>
                <c:pt idx="0">
                  <c:v>0.71232876712328763</c:v>
                </c:pt>
                <c:pt idx="1">
                  <c:v>9.5890410958904104E-2</c:v>
                </c:pt>
                <c:pt idx="2">
                  <c:v>0.19178082191780821</c:v>
                </c:pt>
              </c:numCache>
            </c:numRef>
          </c:val>
          <c:extLst>
            <c:ext xmlns:c16="http://schemas.microsoft.com/office/drawing/2014/chart" uri="{C3380CC4-5D6E-409C-BE32-E72D297353CC}">
              <c16:uniqueId val="{00000006-6F6F-4ABF-BB81-BB06EF7F78F0}"/>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8-6F6F-4ABF-BB81-BB06EF7F78F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A-6F6F-4ABF-BB81-BB06EF7F78F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C-6F6F-4ABF-BB81-BB06EF7F78F0}"/>
              </c:ext>
            </c:extLst>
          </c:dPt>
          <c:cat>
            <c:strRef>
              <c:f>Summary_APR_2020!$F$18:$F$20</c:f>
              <c:strCache>
                <c:ptCount val="3"/>
                <c:pt idx="0">
                  <c:v>Achieved for the year</c:v>
                </c:pt>
                <c:pt idx="1">
                  <c:v>Part Achieved for the Year</c:v>
                </c:pt>
                <c:pt idx="2">
                  <c:v>Not Achieved for the Year </c:v>
                </c:pt>
              </c:strCache>
            </c:strRef>
          </c:cat>
          <c:val>
            <c:numRef>
              <c:f>Summary_APR_2020!$H$18:$H$20</c:f>
              <c:numCache>
                <c:formatCode>0%</c:formatCode>
                <c:ptCount val="3"/>
              </c:numCache>
            </c:numRef>
          </c:val>
          <c:extLst>
            <c:ext xmlns:c16="http://schemas.microsoft.com/office/drawing/2014/chart" uri="{C3380CC4-5D6E-409C-BE32-E72D297353CC}">
              <c16:uniqueId val="{0000000D-6F6F-4ABF-BB81-BB06EF7F78F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ZA" b="1"/>
              <a:t>Summary Performance by Strategic Programme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9595955693007265E-2"/>
          <c:y val="0.10197679502298938"/>
          <c:w val="0.87753205063950601"/>
          <c:h val="0.60818079603856023"/>
        </c:manualLayout>
      </c:layout>
      <c:barChart>
        <c:barDir val="col"/>
        <c:grouping val="clustered"/>
        <c:varyColors val="0"/>
        <c:ser>
          <c:idx val="0"/>
          <c:order val="0"/>
          <c:tx>
            <c:strRef>
              <c:f>Summary_APR_2020!$O$21</c:f>
              <c:strCache>
                <c:ptCount val="1"/>
                <c:pt idx="0">
                  <c:v>Achieved</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Summary_APR_2020!$N$22:$N$26</c:f>
              <c:strCache>
                <c:ptCount val="5"/>
                <c:pt idx="0">
                  <c:v>PROG_1:
TO DEVELOP A PROFICIENT AND VIABLE ORGANISATION</c:v>
                </c:pt>
                <c:pt idx="1">
                  <c:v>PROG_2:
TO DEVELOP VIABLE AND SUSTAINABLE RURAL ECONOMIES</c:v>
                </c:pt>
                <c:pt idx="2">
                  <c:v>PROG_3:
TO FACILITATE INVESTMENT PROMOTION AND SMME DEVELOPMENT </c:v>
                </c:pt>
                <c:pt idx="3">
                  <c:v>PROG_ 4:
TO FACILITATE DEVELOPMENT OF SECTOR-SPECIFIC SCARCE SKILLS</c:v>
                </c:pt>
                <c:pt idx="4">
                  <c:v>PROG_ 5:
TO DEVELOP STRONG STAKEHOLDER AND COMMUNITY ENGAGEMENT FOR PUBLIC ACCOUNTABILITY</c:v>
                </c:pt>
              </c:strCache>
            </c:strRef>
          </c:cat>
          <c:val>
            <c:numRef>
              <c:f>Summary_APR_2020!$O$22:$O$26</c:f>
              <c:numCache>
                <c:formatCode>0%</c:formatCode>
                <c:ptCount val="5"/>
                <c:pt idx="0">
                  <c:v>0.65</c:v>
                </c:pt>
                <c:pt idx="1">
                  <c:v>0.75</c:v>
                </c:pt>
                <c:pt idx="2">
                  <c:v>0.69230769230769229</c:v>
                </c:pt>
                <c:pt idx="3">
                  <c:v>1</c:v>
                </c:pt>
                <c:pt idx="4">
                  <c:v>0.6</c:v>
                </c:pt>
              </c:numCache>
            </c:numRef>
          </c:val>
          <c:extLst>
            <c:ext xmlns:c16="http://schemas.microsoft.com/office/drawing/2014/chart" uri="{C3380CC4-5D6E-409C-BE32-E72D297353CC}">
              <c16:uniqueId val="{00000000-E6D0-4C48-B6B4-EFCBEEC0FE11}"/>
            </c:ext>
          </c:extLst>
        </c:ser>
        <c:ser>
          <c:idx val="1"/>
          <c:order val="1"/>
          <c:tx>
            <c:strRef>
              <c:f>Summary_APR_2020!$P$21</c:f>
              <c:strCache>
                <c:ptCount val="1"/>
                <c:pt idx="0">
                  <c:v>Part Achieved</c:v>
                </c:pt>
              </c:strCache>
            </c:strRef>
          </c:tx>
          <c:spPr>
            <a:solidFill>
              <a:srgbClr val="00B0F0"/>
            </a:solidFill>
            <a:ln>
              <a:solidFill>
                <a:srgbClr val="00B0F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Summary_APR_2020!$N$22:$N$26</c:f>
              <c:strCache>
                <c:ptCount val="5"/>
                <c:pt idx="0">
                  <c:v>PROG_1:
TO DEVELOP A PROFICIENT AND VIABLE ORGANISATION</c:v>
                </c:pt>
                <c:pt idx="1">
                  <c:v>PROG_2:
TO DEVELOP VIABLE AND SUSTAINABLE RURAL ECONOMIES</c:v>
                </c:pt>
                <c:pt idx="2">
                  <c:v>PROG_3:
TO FACILITATE INVESTMENT PROMOTION AND SMME DEVELOPMENT </c:v>
                </c:pt>
                <c:pt idx="3">
                  <c:v>PROG_ 4:
TO FACILITATE DEVELOPMENT OF SECTOR-SPECIFIC SCARCE SKILLS</c:v>
                </c:pt>
                <c:pt idx="4">
                  <c:v>PROG_ 5:
TO DEVELOP STRONG STAKEHOLDER AND COMMUNITY ENGAGEMENT FOR PUBLIC ACCOUNTABILITY</c:v>
                </c:pt>
              </c:strCache>
            </c:strRef>
          </c:cat>
          <c:val>
            <c:numRef>
              <c:f>Summary_APR_2020!$P$22:$P$26</c:f>
              <c:numCache>
                <c:formatCode>0%</c:formatCode>
                <c:ptCount val="5"/>
                <c:pt idx="0">
                  <c:v>0.25</c:v>
                </c:pt>
                <c:pt idx="1">
                  <c:v>0</c:v>
                </c:pt>
                <c:pt idx="2">
                  <c:v>7.6923076923076927E-2</c:v>
                </c:pt>
                <c:pt idx="3">
                  <c:v>0</c:v>
                </c:pt>
                <c:pt idx="4">
                  <c:v>6.6666666666666666E-2</c:v>
                </c:pt>
              </c:numCache>
            </c:numRef>
          </c:val>
          <c:extLst>
            <c:ext xmlns:c16="http://schemas.microsoft.com/office/drawing/2014/chart" uri="{C3380CC4-5D6E-409C-BE32-E72D297353CC}">
              <c16:uniqueId val="{00000001-E6D0-4C48-B6B4-EFCBEEC0FE11}"/>
            </c:ext>
          </c:extLst>
        </c:ser>
        <c:ser>
          <c:idx val="2"/>
          <c:order val="2"/>
          <c:tx>
            <c:strRef>
              <c:f>Summary_APR_2020!$Q$21</c:f>
              <c:strCache>
                <c:ptCount val="1"/>
                <c:pt idx="0">
                  <c:v>Not Achieved</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Summary_APR_2020!$N$22:$N$26</c:f>
              <c:strCache>
                <c:ptCount val="5"/>
                <c:pt idx="0">
                  <c:v>PROG_1:
TO DEVELOP A PROFICIENT AND VIABLE ORGANISATION</c:v>
                </c:pt>
                <c:pt idx="1">
                  <c:v>PROG_2:
TO DEVELOP VIABLE AND SUSTAINABLE RURAL ECONOMIES</c:v>
                </c:pt>
                <c:pt idx="2">
                  <c:v>PROG_3:
TO FACILITATE INVESTMENT PROMOTION AND SMME DEVELOPMENT </c:v>
                </c:pt>
                <c:pt idx="3">
                  <c:v>PROG_ 4:
TO FACILITATE DEVELOPMENT OF SECTOR-SPECIFIC SCARCE SKILLS</c:v>
                </c:pt>
                <c:pt idx="4">
                  <c:v>PROG_ 5:
TO DEVELOP STRONG STAKEHOLDER AND COMMUNITY ENGAGEMENT FOR PUBLIC ACCOUNTABILITY</c:v>
                </c:pt>
              </c:strCache>
            </c:strRef>
          </c:cat>
          <c:val>
            <c:numRef>
              <c:f>Summary_APR_2020!$Q$22:$Q$26</c:f>
              <c:numCache>
                <c:formatCode>0%</c:formatCode>
                <c:ptCount val="5"/>
                <c:pt idx="0">
                  <c:v>0.1</c:v>
                </c:pt>
                <c:pt idx="1">
                  <c:v>0.25</c:v>
                </c:pt>
                <c:pt idx="2">
                  <c:v>0.23076923076923078</c:v>
                </c:pt>
                <c:pt idx="3">
                  <c:v>0</c:v>
                </c:pt>
                <c:pt idx="4">
                  <c:v>0.33333333333333331</c:v>
                </c:pt>
              </c:numCache>
            </c:numRef>
          </c:val>
          <c:extLst>
            <c:ext xmlns:c16="http://schemas.microsoft.com/office/drawing/2014/chart" uri="{C3380CC4-5D6E-409C-BE32-E72D297353CC}">
              <c16:uniqueId val="{00000002-E6D0-4C48-B6B4-EFCBEEC0FE11}"/>
            </c:ext>
          </c:extLst>
        </c:ser>
        <c:dLbls>
          <c:showLegendKey val="0"/>
          <c:showVal val="0"/>
          <c:showCatName val="0"/>
          <c:showSerName val="0"/>
          <c:showPercent val="0"/>
          <c:showBubbleSize val="0"/>
        </c:dLbls>
        <c:gapWidth val="219"/>
        <c:overlap val="-27"/>
        <c:axId val="327170888"/>
        <c:axId val="327166576"/>
      </c:barChart>
      <c:catAx>
        <c:axId val="327170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327166576"/>
        <c:crosses val="autoZero"/>
        <c:auto val="1"/>
        <c:lblAlgn val="ctr"/>
        <c:lblOffset val="100"/>
        <c:noMultiLvlLbl val="0"/>
      </c:catAx>
      <c:valAx>
        <c:axId val="327166576"/>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7170888"/>
        <c:crosses val="autoZero"/>
        <c:crossBetween val="between"/>
      </c:valAx>
      <c:spPr>
        <a:noFill/>
        <a:ln>
          <a:noFill/>
        </a:ln>
        <a:effectLst/>
      </c:spPr>
    </c:plotArea>
    <c:legend>
      <c:legendPos val="r"/>
      <c:layout>
        <c:manualLayout>
          <c:xMode val="edge"/>
          <c:yMode val="edge"/>
          <c:x val="0.86108738550349029"/>
          <c:y val="4.1347414842011175E-2"/>
          <c:w val="0.13891261449650988"/>
          <c:h val="0.36981460556998125"/>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cid:image001.jpg@01D32643.7136FDD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143864</xdr:colOff>
      <xdr:row>0</xdr:row>
      <xdr:rowOff>97111</xdr:rowOff>
    </xdr:from>
    <xdr:to>
      <xdr:col>0</xdr:col>
      <xdr:colOff>1861208</xdr:colOff>
      <xdr:row>4</xdr:row>
      <xdr:rowOff>32845</xdr:rowOff>
    </xdr:to>
    <xdr:pic>
      <xdr:nvPicPr>
        <xdr:cNvPr id="2" name="Picture 1" descr="cid:image005.jpg@01CE9CE4.C87C50F0">
          <a:extLst>
            <a:ext uri="{FF2B5EF4-FFF2-40B4-BE49-F238E27FC236}">
              <a16:creationId xmlns:a16="http://schemas.microsoft.com/office/drawing/2014/main" id="{9871720F-C5B8-4166-AE77-7569A36F0EE6}"/>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43864" y="97111"/>
          <a:ext cx="1717344" cy="6977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177800</xdr:colOff>
      <xdr:row>14</xdr:row>
      <xdr:rowOff>192089</xdr:rowOff>
    </xdr:from>
    <xdr:to>
      <xdr:col>4</xdr:col>
      <xdr:colOff>927100</xdr:colOff>
      <xdr:row>35</xdr:row>
      <xdr:rowOff>139700</xdr:rowOff>
    </xdr:to>
    <xdr:graphicFrame macro="">
      <xdr:nvGraphicFramePr>
        <xdr:cNvPr id="2" name="Chart 1">
          <a:extLst>
            <a:ext uri="{FF2B5EF4-FFF2-40B4-BE49-F238E27FC236}">
              <a16:creationId xmlns:a16="http://schemas.microsoft.com/office/drawing/2014/main" id="{4B936C43-00B0-438E-B3EB-95A4104993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38098</xdr:colOff>
      <xdr:row>2</xdr:row>
      <xdr:rowOff>301625</xdr:rowOff>
    </xdr:from>
    <xdr:to>
      <xdr:col>15</xdr:col>
      <xdr:colOff>520700</xdr:colOff>
      <xdr:row>13</xdr:row>
      <xdr:rowOff>129382</xdr:rowOff>
    </xdr:to>
    <xdr:graphicFrame macro="">
      <xdr:nvGraphicFramePr>
        <xdr:cNvPr id="3" name="Chart 2">
          <a:extLst>
            <a:ext uri="{FF2B5EF4-FFF2-40B4-BE49-F238E27FC236}">
              <a16:creationId xmlns:a16="http://schemas.microsoft.com/office/drawing/2014/main" id="{6D658773-6F74-4214-A821-C7E47E3D81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177800</xdr:colOff>
      <xdr:row>14</xdr:row>
      <xdr:rowOff>192089</xdr:rowOff>
    </xdr:from>
    <xdr:to>
      <xdr:col>4</xdr:col>
      <xdr:colOff>927100</xdr:colOff>
      <xdr:row>35</xdr:row>
      <xdr:rowOff>139700</xdr:rowOff>
    </xdr:to>
    <xdr:graphicFrame macro="">
      <xdr:nvGraphicFramePr>
        <xdr:cNvPr id="2" name="Chart 1">
          <a:extLst>
            <a:ext uri="{FF2B5EF4-FFF2-40B4-BE49-F238E27FC236}">
              <a16:creationId xmlns:a16="http://schemas.microsoft.com/office/drawing/2014/main" id="{F0047BE7-67C4-4489-86B9-D36F00B6BF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38098</xdr:colOff>
      <xdr:row>2</xdr:row>
      <xdr:rowOff>301625</xdr:rowOff>
    </xdr:from>
    <xdr:to>
      <xdr:col>15</xdr:col>
      <xdr:colOff>520700</xdr:colOff>
      <xdr:row>13</xdr:row>
      <xdr:rowOff>129382</xdr:rowOff>
    </xdr:to>
    <xdr:graphicFrame macro="">
      <xdr:nvGraphicFramePr>
        <xdr:cNvPr id="3" name="Chart 2">
          <a:extLst>
            <a:ext uri="{FF2B5EF4-FFF2-40B4-BE49-F238E27FC236}">
              <a16:creationId xmlns:a16="http://schemas.microsoft.com/office/drawing/2014/main" id="{550F3C32-0CD3-45D1-B5E5-6221CD7AF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59528</xdr:colOff>
      <xdr:row>14</xdr:row>
      <xdr:rowOff>166689</xdr:rowOff>
    </xdr:from>
    <xdr:to>
      <xdr:col>4</xdr:col>
      <xdr:colOff>1079500</xdr:colOff>
      <xdr:row>25</xdr:row>
      <xdr:rowOff>301626</xdr:rowOff>
    </xdr:to>
    <xdr:graphicFrame macro="">
      <xdr:nvGraphicFramePr>
        <xdr:cNvPr id="2" name="Chart 1">
          <a:extLst>
            <a:ext uri="{FF2B5EF4-FFF2-40B4-BE49-F238E27FC236}">
              <a16:creationId xmlns:a16="http://schemas.microsoft.com/office/drawing/2014/main" id="{4CAFB64F-6332-49A1-8831-81DE3C8DFC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380998</xdr:colOff>
      <xdr:row>3</xdr:row>
      <xdr:rowOff>212725</xdr:rowOff>
    </xdr:from>
    <xdr:to>
      <xdr:col>15</xdr:col>
      <xdr:colOff>627063</xdr:colOff>
      <xdr:row>15</xdr:row>
      <xdr:rowOff>154782</xdr:rowOff>
    </xdr:to>
    <xdr:graphicFrame macro="">
      <xdr:nvGraphicFramePr>
        <xdr:cNvPr id="3" name="Chart 2">
          <a:extLst>
            <a:ext uri="{FF2B5EF4-FFF2-40B4-BE49-F238E27FC236}">
              <a16:creationId xmlns:a16="http://schemas.microsoft.com/office/drawing/2014/main" id="{F5FAEF0D-F564-4844-AE0B-45F1927C38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Profile/flicker/Documents/Flickers%20Workings/CHDA/PERFORMANCE/2020-2021/FINAL_%202020-2021%20_%20Qtr3%20Performance%20Report_IA%20REVIEW%20UPDATED%20FINAL.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s://psauditcoza-my.sharepoint.com/personal/lundi_vusani_psaudit_co_za/Documents/Documents/Clients/CHDA/Performance%20Information%20Review%202021-22/APR%20Annual%20Performance%20Report%202021-22/DRAFT%20APR_Adjusted_2021-2022-FT_012022_ApprovedFinal_26August2022%20IA%20Workings.xlsx?71A5269D" TargetMode="External"/><Relationship Id="rId1" Type="http://schemas.openxmlformats.org/officeDocument/2006/relationships/externalLinkPath" Target="file:///\\71A5269D\DRAFT%20APR_Adjusted_2021-2022-FT_012022_ApprovedFinal_26August2022%20IA%20Working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Profile/flicker/Documents/Flickers%20Workings/CHDA/PERFORMANCE/2020-2021/2.8_APP_2020-2021_Qtr2%20Performance%20Report_31Dec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Profile/Flicker/Documents/Flickers%20Workings/CHDA/PERFORMANCE/2017_2018/Qtr4_201718/Annexure%20A%20_%20FINAL%20Draft_Performance%20Report%20_%20Annual_%202017-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Profile/flicker/Documents/Flickers%20Workings/CHDA/PERFORMANCE/2019_2020/Qtr4_2019-2020/Annexure_Performance%20Progress%20Report_2019-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icatorList "/>
      <sheetName val="APPAdjSummary_2019-20"/>
      <sheetName val="PROG1_ProfViableOrg"/>
      <sheetName val="PROG2_FundInvPromo"/>
      <sheetName val="PROG3_ViableRurCorr"/>
      <sheetName val="PROG4_Infrastructure"/>
      <sheetName val="Summary_Qtr3"/>
      <sheetName val="Summary_Annual2020-21"/>
      <sheetName val="AnnexureA-FundingApplications21"/>
    </sheetNames>
    <sheetDataSet>
      <sheetData sheetId="0"/>
      <sheetData sheetId="1"/>
      <sheetData sheetId="2">
        <row r="45">
          <cell r="G45" t="str">
            <v>Scheduling Changes</v>
          </cell>
          <cell r="K45" t="str">
            <v>Additions</v>
          </cell>
          <cell r="L45" t="str">
            <v>Removals</v>
          </cell>
        </row>
      </sheetData>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tratSummary"/>
      <sheetName val="StratRisk"/>
      <sheetName val="SG1-2022_APR"/>
      <sheetName val="SG2-2022_APR"/>
      <sheetName val="SG3-2022_APR"/>
      <sheetName val="SG4-2022_Audited"/>
    </sheetNames>
    <sheetDataSet>
      <sheetData sheetId="0" refreshError="1"/>
      <sheetData sheetId="1" refreshError="1"/>
      <sheetData sheetId="2" refreshError="1"/>
      <sheetData sheetId="3" refreshError="1">
        <row r="3">
          <cell r="V3" t="str">
            <v>Initial</v>
          </cell>
          <cell r="W3" t="str">
            <v>Adjusted</v>
          </cell>
          <cell r="X3" t="str">
            <v>Votes Affected</v>
          </cell>
        </row>
        <row r="12">
          <cell r="X12" t="str">
            <v>n/a - internally funded from salaries budget</v>
          </cell>
        </row>
      </sheetData>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icatorList "/>
      <sheetName val="APPSummary_2019-20"/>
      <sheetName val="PROG1_ProfViableOrg"/>
      <sheetName val="PROG2_FundInvPromo"/>
      <sheetName val="PROG3_ViableRurCorr"/>
      <sheetName val="Summary_Qtr2"/>
      <sheetName val="Summary_Midyear_Qtr1+Qtr2"/>
    </sheetNames>
    <sheetDataSet>
      <sheetData sheetId="0"/>
      <sheetData sheetId="1"/>
      <sheetData sheetId="2"/>
      <sheetData sheetId="3">
        <row r="5">
          <cell r="A5" t="str">
            <v>TO DEVELOP A PROFICIENT, VIABLE AND SELF-SUSTIANBALE ENTITY BY 2025</v>
          </cell>
        </row>
      </sheetData>
      <sheetData sheetId="4">
        <row r="5">
          <cell r="A5" t="str">
            <v>TO MOBILISE FUNDING AND FACILITATE INVESTMENT PROMOTION INTO THE DISTRICT BY 2025</v>
          </cell>
        </row>
      </sheetData>
      <sheetData sheetId="5">
        <row r="5">
          <cell r="A5" t="str">
            <v>TO DEVELOP ECONOMICALLY VIABLE AND SUSTAINABLE RURAL CORRIDORS BY 2025</v>
          </cell>
        </row>
      </sheetData>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ummary"/>
      <sheetName val="Goal1_ViableOrg"/>
      <sheetName val="Goal2_ViableEco"/>
      <sheetName val="Goal3_InvPromo"/>
      <sheetName val="Goal4_SkillsDev"/>
      <sheetName val="Goal5_StakEng"/>
    </sheetNames>
    <sheetDataSet>
      <sheetData sheetId="0"/>
      <sheetData sheetId="1"/>
      <sheetData sheetId="2">
        <row r="3">
          <cell r="A3" t="str">
            <v>PROG_1:
TO DEVELOP A PROFICIENT AND VIABLE ORGANISATION</v>
          </cell>
        </row>
      </sheetData>
      <sheetData sheetId="3">
        <row r="3">
          <cell r="A3" t="str">
            <v>PROG_2:
TO DEVELOP VIABLE AND SUSTAINABLE RURAL ECONOMIES</v>
          </cell>
        </row>
      </sheetData>
      <sheetData sheetId="4">
        <row r="3">
          <cell r="A3" t="str">
            <v xml:space="preserve">PROG_3:
TO FACILITATE INVESTMENT PROMOTION AND SMME DEVELOPMENT </v>
          </cell>
        </row>
      </sheetData>
      <sheetData sheetId="5">
        <row r="3">
          <cell r="A3" t="str">
            <v>PROG_ 4:
TO FACILITATE DEVELOPMENT OF SECTOR-SPECIFIC SCARCE SKILLS</v>
          </cell>
        </row>
      </sheetData>
      <sheetData sheetId="6">
        <row r="3">
          <cell r="A3" t="str">
            <v>PROG_ 5:
TO DEVELOP STRONG STAKEHOLDER AND COMMUNITY ENGAGEMENT FOR PUBLIC ACCOUNTABILITY</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tratConsiderations"/>
      <sheetName val="IndicatorList "/>
      <sheetName val="APPSummary_2019-20"/>
      <sheetName val="PROG1_ViableOrg"/>
      <sheetName val="PROG2_ViableEco"/>
      <sheetName val="PROG3_InvPromo"/>
      <sheetName val="PROG4_SkillsDev"/>
      <sheetName val="PROG5_StakEng"/>
      <sheetName val="Summary Annual Targets_2020"/>
    </sheetNames>
    <sheetDataSet>
      <sheetData sheetId="0"/>
      <sheetData sheetId="1"/>
      <sheetData sheetId="2"/>
      <sheetData sheetId="3"/>
      <sheetData sheetId="4"/>
      <sheetData sheetId="5">
        <row r="4">
          <cell r="H4">
            <v>2.1</v>
          </cell>
        </row>
        <row r="5">
          <cell r="H5">
            <v>2.2000000000000002</v>
          </cell>
        </row>
        <row r="6">
          <cell r="H6">
            <v>2.2999999999999998</v>
          </cell>
        </row>
        <row r="7">
          <cell r="H7">
            <v>2.4</v>
          </cell>
        </row>
        <row r="8">
          <cell r="H8">
            <v>2.5</v>
          </cell>
        </row>
        <row r="9">
          <cell r="H9">
            <v>2.6</v>
          </cell>
        </row>
        <row r="10">
          <cell r="H10" t="str">
            <v xml:space="preserve"> </v>
          </cell>
        </row>
        <row r="11">
          <cell r="H11">
            <v>2.8</v>
          </cell>
        </row>
        <row r="12">
          <cell r="H12">
            <v>2.9</v>
          </cell>
        </row>
        <row r="13">
          <cell r="H13">
            <v>2.1</v>
          </cell>
        </row>
        <row r="14">
          <cell r="H14">
            <v>2.11</v>
          </cell>
        </row>
        <row r="15">
          <cell r="H15">
            <v>2.12</v>
          </cell>
        </row>
        <row r="16">
          <cell r="H16">
            <v>2.13</v>
          </cell>
        </row>
        <row r="17">
          <cell r="H17">
            <v>2.14</v>
          </cell>
        </row>
        <row r="18">
          <cell r="H18">
            <v>2.15</v>
          </cell>
        </row>
        <row r="19">
          <cell r="H19">
            <v>2.16</v>
          </cell>
        </row>
      </sheetData>
      <sheetData sheetId="6"/>
      <sheetData sheetId="7">
        <row r="4">
          <cell r="H4">
            <v>4.0999999999999996</v>
          </cell>
        </row>
        <row r="5">
          <cell r="H5">
            <v>4.2</v>
          </cell>
        </row>
        <row r="6">
          <cell r="H6">
            <v>4.3</v>
          </cell>
        </row>
        <row r="7">
          <cell r="H7">
            <v>4.3</v>
          </cell>
        </row>
        <row r="8">
          <cell r="H8">
            <v>4.4000000000000004</v>
          </cell>
        </row>
        <row r="9">
          <cell r="H9">
            <v>4.5</v>
          </cell>
        </row>
        <row r="10">
          <cell r="H10">
            <v>4.5999999999999996</v>
          </cell>
        </row>
        <row r="11">
          <cell r="H11">
            <v>4.7</v>
          </cell>
        </row>
        <row r="12">
          <cell r="H12">
            <v>4.8</v>
          </cell>
        </row>
      </sheetData>
      <sheetData sheetId="8">
        <row r="4">
          <cell r="H4">
            <v>5.0999999999999996</v>
          </cell>
        </row>
        <row r="5">
          <cell r="H5">
            <v>5.2</v>
          </cell>
        </row>
        <row r="6">
          <cell r="H6">
            <v>5.3</v>
          </cell>
        </row>
        <row r="7">
          <cell r="H7">
            <v>5.4</v>
          </cell>
        </row>
        <row r="8">
          <cell r="H8">
            <v>5.5</v>
          </cell>
        </row>
        <row r="9">
          <cell r="H9">
            <v>5.6</v>
          </cell>
        </row>
        <row r="10">
          <cell r="H10">
            <v>5.7</v>
          </cell>
        </row>
        <row r="11">
          <cell r="H11">
            <v>5.8</v>
          </cell>
        </row>
        <row r="12">
          <cell r="H12">
            <v>5.9</v>
          </cell>
        </row>
        <row r="13">
          <cell r="H13" t="str">
            <v>5.9a</v>
          </cell>
        </row>
        <row r="14">
          <cell r="H14">
            <v>5.0999999999999996</v>
          </cell>
        </row>
        <row r="15">
          <cell r="H15">
            <v>5.1100000000000003</v>
          </cell>
        </row>
        <row r="16">
          <cell r="H16">
            <v>5.12</v>
          </cell>
        </row>
        <row r="17">
          <cell r="H17">
            <v>5.13</v>
          </cell>
        </row>
        <row r="18">
          <cell r="H18">
            <v>5.14</v>
          </cell>
        </row>
      </sheetData>
      <sheetData sheetId="9"/>
    </sheetDataSet>
  </externalBook>
</externalLink>
</file>

<file path=xl/persons/person.xml><?xml version="1.0" encoding="utf-8"?>
<personList xmlns="http://schemas.microsoft.com/office/spreadsheetml/2018/threadedcomments" xmlns:x="http://schemas.openxmlformats.org/spreadsheetml/2006/main">
  <person displayName="Flicker Tiso" id="{5B0BD5A3-0211-4957-98EB-740725FE6CA3}" userId="S::flicker@chda.org.za::1bd6935a-25c3-40ec-a134-4b19563b443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4" dT="2022-02-04T12:06:13.68" personId="{5B0BD5A3-0211-4957-98EB-740725FE6CA3}" id="{0BA988F4-D487-484A-91F8-0AFDAFFCA71A}">
    <text>Post-audit action plan
- principal-agent
- vat
- section32 writeoffs
-BTO- budget and unauthorised
-PPE QMC</text>
  </threadedComment>
</ThreadedComments>
</file>

<file path=xl/threadedComments/threadedComment2.xml><?xml version="1.0" encoding="utf-8"?>
<ThreadedComments xmlns="http://schemas.microsoft.com/office/spreadsheetml/2018/threadedcomments" xmlns:x="http://schemas.openxmlformats.org/spreadsheetml/2006/main">
  <threadedComment ref="M5" dT="2022-02-04T09:56:31.29" personId="{5B0BD5A3-0211-4957-98EB-740725FE6CA3}" id="{F9188BCF-AD56-4305-8188-6747700D9073}">
    <text>Link bursary or skills initiatives to job creation/ work placement/ conseqiuencs in place for poor academic performance?</text>
  </threadedComment>
  <threadedComment ref="M17" dT="2022-02-04T09:56:56.82" personId="{5B0BD5A3-0211-4957-98EB-740725FE6CA3}" id="{A2E4E466-C86D-4765-8E04-BB4BD85EE9CF}">
    <text>Link to job creation / impact reporting?</text>
  </threadedComment>
  <threadedComment ref="M18" dT="2022-02-04T09:57:09.65" personId="{5B0BD5A3-0211-4957-98EB-740725FE6CA3}" id="{60FCEC17-2356-4704-9C24-D1E043545C73}">
    <text>ICT job creation?</text>
  </threadedComment>
</ThreadedComments>
</file>

<file path=xl/threadedComments/threadedComment3.xml><?xml version="1.0" encoding="utf-8"?>
<ThreadedComments xmlns="http://schemas.microsoft.com/office/spreadsheetml/2018/threadedcomments" xmlns:x="http://schemas.openxmlformats.org/spreadsheetml/2006/main">
  <threadedComment ref="M4" dT="2022-02-04T09:12:51.14" personId="{5B0BD5A3-0211-4957-98EB-740725FE6CA3}" id="{C2E3D4F8-608C-4B1E-863E-6C0506B2FCFE}">
    <text>Consider linking to SG1 under own revenue generation?</text>
  </threadedComment>
  <threadedComment ref="M5" dT="2022-02-04T09:01:28.41" personId="{5B0BD5A3-0211-4957-98EB-740725FE6CA3}" id="{76AD39A1-EF70-44D9-8DE4-341D6AEB7553}">
    <text>ARC: Amend indicator to number of infrastructure projects vs Rand-value
Link to actual number of projects approved for implementation and abeing implemented - link rand value to project budgets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D58ED-9C17-4D9E-A075-0455AD3FAE7A}">
  <sheetPr>
    <tabColor theme="1"/>
  </sheetPr>
  <dimension ref="A6:L39"/>
  <sheetViews>
    <sheetView topLeftCell="A22" zoomScale="87" zoomScaleNormal="87" workbookViewId="0">
      <selection activeCell="N33" sqref="N33"/>
    </sheetView>
  </sheetViews>
  <sheetFormatPr defaultRowHeight="15" x14ac:dyDescent="0.25"/>
  <cols>
    <col min="1" max="1" width="46.85546875" customWidth="1"/>
    <col min="2" max="2" width="4.7109375" style="238" customWidth="1"/>
    <col min="3" max="3" width="12.28515625" customWidth="1"/>
    <col min="4" max="4" width="12.140625" customWidth="1"/>
    <col min="5" max="5" width="13.5703125" customWidth="1"/>
  </cols>
  <sheetData>
    <row r="6" spans="1:8" ht="19.5" x14ac:dyDescent="0.25">
      <c r="A6" s="697" t="s">
        <v>1010</v>
      </c>
      <c r="B6" s="697"/>
      <c r="C6" s="697"/>
      <c r="D6" s="697"/>
      <c r="E6" s="697"/>
    </row>
    <row r="7" spans="1:8" ht="19.5" x14ac:dyDescent="0.25">
      <c r="A7" s="691">
        <v>44890</v>
      </c>
      <c r="B7" s="651"/>
      <c r="C7" s="651"/>
      <c r="D7" s="651"/>
      <c r="E7" s="651"/>
    </row>
    <row r="8" spans="1:8" ht="19.5" x14ac:dyDescent="0.25">
      <c r="A8" s="697" t="s">
        <v>695</v>
      </c>
      <c r="B8" s="697"/>
      <c r="C8" s="697"/>
      <c r="D8" s="697"/>
      <c r="E8" s="697"/>
    </row>
    <row r="9" spans="1:8" ht="19.5" x14ac:dyDescent="0.25">
      <c r="A9" s="697" t="s">
        <v>715</v>
      </c>
      <c r="B9" s="697"/>
      <c r="C9" s="697"/>
      <c r="D9" s="697"/>
      <c r="E9" s="697"/>
    </row>
    <row r="10" spans="1:8" ht="19.5" x14ac:dyDescent="0.25">
      <c r="A10" s="697" t="s">
        <v>998</v>
      </c>
      <c r="B10" s="697"/>
      <c r="C10" s="697"/>
      <c r="D10" s="697"/>
      <c r="E10" s="697"/>
    </row>
    <row r="11" spans="1:8" ht="12.75" customHeight="1" x14ac:dyDescent="0.25"/>
    <row r="12" spans="1:8" ht="23.25" x14ac:dyDescent="0.35">
      <c r="A12" s="694" t="s">
        <v>716</v>
      </c>
      <c r="B12" s="695"/>
      <c r="C12" s="695"/>
      <c r="D12" s="695"/>
      <c r="E12" s="695"/>
      <c r="F12" s="695"/>
      <c r="G12" s="695"/>
      <c r="H12" s="695"/>
    </row>
    <row r="13" spans="1:8" s="324" customFormat="1" ht="26.25" x14ac:dyDescent="0.25">
      <c r="A13" s="698" t="s">
        <v>696</v>
      </c>
      <c r="B13" s="699"/>
      <c r="C13" s="321" t="str">
        <f>'[1]APPAdjSummary_2019-20'!G45</f>
        <v>Scheduling Changes</v>
      </c>
      <c r="D13" s="322" t="str">
        <f>'[1]APPAdjSummary_2019-20'!K45</f>
        <v>Additions</v>
      </c>
      <c r="E13" s="323" t="str">
        <f>'[1]APPAdjSummary_2019-20'!L45</f>
        <v>Removals</v>
      </c>
    </row>
    <row r="14" spans="1:8" x14ac:dyDescent="0.25">
      <c r="A14" s="700" t="s">
        <v>697</v>
      </c>
      <c r="B14" s="701"/>
      <c r="C14" s="325" t="s">
        <v>23</v>
      </c>
      <c r="D14" s="325" t="s">
        <v>23</v>
      </c>
      <c r="E14" s="325" t="s">
        <v>23</v>
      </c>
      <c r="F14" s="696" t="s">
        <v>718</v>
      </c>
      <c r="G14" s="696"/>
      <c r="H14" s="696"/>
    </row>
    <row r="15" spans="1:8" x14ac:dyDescent="0.25">
      <c r="A15" s="702" t="s">
        <v>698</v>
      </c>
      <c r="B15" s="703"/>
      <c r="C15" s="326" t="s">
        <v>23</v>
      </c>
      <c r="D15" s="327" t="s">
        <v>23</v>
      </c>
      <c r="E15" s="328" t="s">
        <v>23</v>
      </c>
      <c r="F15" s="696"/>
      <c r="G15" s="696"/>
      <c r="H15" s="696"/>
    </row>
    <row r="16" spans="1:8" x14ac:dyDescent="0.25">
      <c r="A16" s="704" t="s">
        <v>699</v>
      </c>
      <c r="B16" s="705"/>
      <c r="C16" s="329" t="s">
        <v>23</v>
      </c>
      <c r="D16" s="330" t="s">
        <v>23</v>
      </c>
      <c r="E16" s="331" t="s">
        <v>23</v>
      </c>
      <c r="F16" s="696"/>
      <c r="G16" s="696"/>
      <c r="H16" s="696"/>
    </row>
    <row r="17" spans="1:8" x14ac:dyDescent="0.25">
      <c r="A17" s="706" t="s">
        <v>717</v>
      </c>
      <c r="B17" s="707"/>
      <c r="C17" s="332" t="s">
        <v>23</v>
      </c>
      <c r="D17" s="333" t="s">
        <v>23</v>
      </c>
      <c r="E17" s="334" t="s">
        <v>23</v>
      </c>
      <c r="F17" s="696"/>
      <c r="G17" s="696"/>
      <c r="H17" s="696"/>
    </row>
    <row r="18" spans="1:8" ht="3.75" customHeight="1" x14ac:dyDescent="0.25">
      <c r="A18" s="335"/>
      <c r="B18" s="336"/>
      <c r="C18" s="337"/>
      <c r="D18" s="337"/>
      <c r="E18" s="338"/>
    </row>
    <row r="19" spans="1:8" ht="25.5" x14ac:dyDescent="0.25">
      <c r="A19" s="708"/>
      <c r="B19" s="709"/>
      <c r="C19" s="339" t="s">
        <v>719</v>
      </c>
      <c r="D19" s="339" t="s">
        <v>700</v>
      </c>
      <c r="E19" s="340" t="s">
        <v>701</v>
      </c>
    </row>
    <row r="20" spans="1:8" x14ac:dyDescent="0.25">
      <c r="A20" s="341" t="s">
        <v>702</v>
      </c>
      <c r="B20" s="342" t="s">
        <v>656</v>
      </c>
      <c r="C20" s="343">
        <v>0</v>
      </c>
      <c r="D20" s="343">
        <f>StratSummary!C12</f>
        <v>54</v>
      </c>
      <c r="E20" s="344">
        <v>54</v>
      </c>
    </row>
    <row r="21" spans="1:8" ht="15.75" thickBot="1" x14ac:dyDescent="0.3">
      <c r="A21" s="345" t="s">
        <v>703</v>
      </c>
      <c r="B21" s="346" t="s">
        <v>656</v>
      </c>
      <c r="C21" s="347">
        <v>0</v>
      </c>
      <c r="D21" s="348">
        <f>StratSummary!C11</f>
        <v>32</v>
      </c>
      <c r="E21" s="349">
        <v>32</v>
      </c>
    </row>
    <row r="22" spans="1:8" ht="3" customHeight="1" x14ac:dyDescent="0.25">
      <c r="B22" s="350"/>
      <c r="C22" s="239"/>
    </row>
    <row r="23" spans="1:8" ht="23.25" x14ac:dyDescent="0.35">
      <c r="A23" s="694" t="s">
        <v>721</v>
      </c>
      <c r="B23" s="695"/>
      <c r="C23" s="695"/>
      <c r="D23" s="695"/>
      <c r="E23" s="695"/>
      <c r="F23" s="695"/>
      <c r="G23" s="695"/>
      <c r="H23" s="695"/>
    </row>
    <row r="24" spans="1:8" ht="5.25" customHeight="1" thickBot="1" x14ac:dyDescent="0.3"/>
    <row r="25" spans="1:8" ht="15.75" customHeight="1" x14ac:dyDescent="0.25">
      <c r="A25" s="710" t="s">
        <v>722</v>
      </c>
      <c r="B25" s="711"/>
      <c r="C25" s="351" t="s">
        <v>232</v>
      </c>
      <c r="D25" s="351" t="s">
        <v>704</v>
      </c>
      <c r="E25" s="352" t="s">
        <v>705</v>
      </c>
      <c r="F25" s="712" t="s">
        <v>706</v>
      </c>
      <c r="G25" s="713"/>
      <c r="H25" s="714"/>
    </row>
    <row r="26" spans="1:8" ht="15" customHeight="1" x14ac:dyDescent="0.25">
      <c r="A26" s="700" t="s">
        <v>697</v>
      </c>
      <c r="B26" s="701"/>
      <c r="C26" s="353">
        <v>0.31</v>
      </c>
      <c r="D26" s="353">
        <v>0.31</v>
      </c>
      <c r="E26" s="627">
        <v>0</v>
      </c>
      <c r="F26" s="715"/>
      <c r="G26" s="716"/>
      <c r="H26" s="717"/>
    </row>
    <row r="27" spans="1:8" x14ac:dyDescent="0.25">
      <c r="A27" s="702" t="s">
        <v>698</v>
      </c>
      <c r="B27" s="703"/>
      <c r="C27" s="354">
        <v>0.75</v>
      </c>
      <c r="D27" s="354">
        <v>0.75</v>
      </c>
      <c r="E27" s="451">
        <v>0</v>
      </c>
      <c r="F27" s="715"/>
      <c r="G27" s="716"/>
      <c r="H27" s="717"/>
    </row>
    <row r="28" spans="1:8" x14ac:dyDescent="0.25">
      <c r="A28" s="704" t="s">
        <v>699</v>
      </c>
      <c r="B28" s="705"/>
      <c r="C28" s="355">
        <v>0.68</v>
      </c>
      <c r="D28" s="355">
        <v>0.68</v>
      </c>
      <c r="E28" s="628">
        <v>0</v>
      </c>
      <c r="F28" s="715"/>
      <c r="G28" s="716"/>
      <c r="H28" s="717"/>
    </row>
    <row r="29" spans="1:8" ht="15.75" thickBot="1" x14ac:dyDescent="0.3">
      <c r="A29" s="721" t="s">
        <v>707</v>
      </c>
      <c r="B29" s="722"/>
      <c r="C29" s="356">
        <v>1</v>
      </c>
      <c r="D29" s="356">
        <v>1</v>
      </c>
      <c r="E29" s="429">
        <v>0</v>
      </c>
      <c r="F29" s="718"/>
      <c r="G29" s="719"/>
      <c r="H29" s="720"/>
    </row>
    <row r="30" spans="1:8" ht="9" customHeight="1" thickBot="1" x14ac:dyDescent="0.3">
      <c r="A30" s="357"/>
      <c r="B30" s="358"/>
      <c r="C30" s="337"/>
      <c r="D30" s="359"/>
      <c r="E30" s="360"/>
      <c r="F30" s="238"/>
      <c r="G30" s="238"/>
      <c r="H30" s="238"/>
    </row>
    <row r="31" spans="1:8" x14ac:dyDescent="0.25">
      <c r="A31" s="726" t="s">
        <v>708</v>
      </c>
      <c r="B31" s="727"/>
      <c r="C31" s="727"/>
      <c r="D31" s="727"/>
      <c r="E31" s="727"/>
      <c r="F31" s="728" t="s">
        <v>720</v>
      </c>
      <c r="G31" s="729"/>
      <c r="H31" s="730"/>
    </row>
    <row r="32" spans="1:8" ht="21" customHeight="1" thickBot="1" x14ac:dyDescent="0.3">
      <c r="A32" s="737" t="s">
        <v>709</v>
      </c>
      <c r="B32" s="738"/>
      <c r="C32" s="723">
        <f>D20</f>
        <v>54</v>
      </c>
      <c r="D32" s="724"/>
      <c r="E32" s="725"/>
      <c r="F32" s="731"/>
      <c r="G32" s="732"/>
      <c r="H32" s="733"/>
    </row>
    <row r="33" spans="1:12" ht="39" customHeight="1" x14ac:dyDescent="0.25">
      <c r="A33" s="739" t="s">
        <v>711</v>
      </c>
      <c r="B33" s="740"/>
      <c r="C33" s="361">
        <v>8</v>
      </c>
      <c r="D33" s="362">
        <f>C33/C32</f>
        <v>0.14814814814814814</v>
      </c>
      <c r="E33" s="452" t="s">
        <v>710</v>
      </c>
      <c r="F33" s="731"/>
      <c r="G33" s="732"/>
      <c r="H33" s="733"/>
      <c r="K33" s="238"/>
      <c r="L33" s="238"/>
    </row>
    <row r="34" spans="1:12" ht="24.75" customHeight="1" thickBot="1" x14ac:dyDescent="0.3">
      <c r="A34" s="741" t="s">
        <v>712</v>
      </c>
      <c r="B34" s="742"/>
      <c r="C34" s="363">
        <f>Summary_APR_2022!D10</f>
        <v>29</v>
      </c>
      <c r="D34" s="364">
        <f>C34/C32</f>
        <v>0.53703703703703709</v>
      </c>
      <c r="E34" s="743">
        <f>D34+D35</f>
        <v>0.62962962962962965</v>
      </c>
      <c r="F34" s="731"/>
      <c r="G34" s="732"/>
      <c r="H34" s="733"/>
      <c r="K34" s="238"/>
      <c r="L34" s="238"/>
    </row>
    <row r="35" spans="1:12" ht="27" customHeight="1" x14ac:dyDescent="0.25">
      <c r="A35" s="745" t="s">
        <v>713</v>
      </c>
      <c r="B35" s="746"/>
      <c r="C35" s="365">
        <f>Summary_APR_2022!E10</f>
        <v>5</v>
      </c>
      <c r="D35" s="366">
        <f>C35/C32</f>
        <v>9.2592592592592587E-2</v>
      </c>
      <c r="E35" s="744"/>
      <c r="F35" s="731"/>
      <c r="G35" s="732"/>
      <c r="H35" s="733"/>
    </row>
    <row r="36" spans="1:12" ht="29.25" customHeight="1" thickBot="1" x14ac:dyDescent="0.3">
      <c r="A36" s="747" t="s">
        <v>714</v>
      </c>
      <c r="B36" s="748"/>
      <c r="C36" s="367">
        <f>Summary_APR_2022!F10</f>
        <v>21</v>
      </c>
      <c r="D36" s="368">
        <f>C36/C32</f>
        <v>0.3888888888888889</v>
      </c>
      <c r="E36" s="369"/>
      <c r="F36" s="734"/>
      <c r="G36" s="735"/>
      <c r="H36" s="736"/>
    </row>
    <row r="39" spans="1:12" x14ac:dyDescent="0.25">
      <c r="A39" s="239" t="s">
        <v>999</v>
      </c>
    </row>
  </sheetData>
  <mergeCells count="28">
    <mergeCell ref="C32:E32"/>
    <mergeCell ref="A31:E31"/>
    <mergeCell ref="F31:H36"/>
    <mergeCell ref="A32:B32"/>
    <mergeCell ref="A33:B33"/>
    <mergeCell ref="A34:B34"/>
    <mergeCell ref="E34:E35"/>
    <mergeCell ref="A35:B35"/>
    <mergeCell ref="A36:B36"/>
    <mergeCell ref="A25:B25"/>
    <mergeCell ref="F25:H29"/>
    <mergeCell ref="A26:B26"/>
    <mergeCell ref="A27:B27"/>
    <mergeCell ref="A28:B28"/>
    <mergeCell ref="A29:B29"/>
    <mergeCell ref="A23:H23"/>
    <mergeCell ref="F14:H17"/>
    <mergeCell ref="A6:E6"/>
    <mergeCell ref="A8:E8"/>
    <mergeCell ref="A9:E9"/>
    <mergeCell ref="A10:E10"/>
    <mergeCell ref="A12:H12"/>
    <mergeCell ref="A13:B13"/>
    <mergeCell ref="A14:B14"/>
    <mergeCell ref="A15:B15"/>
    <mergeCell ref="A16:B16"/>
    <mergeCell ref="A17:B17"/>
    <mergeCell ref="A19:B19"/>
  </mergeCells>
  <pageMargins left="0.70866141732283472" right="0.70866141732283472" top="0.74803149606299213" bottom="0.74803149606299213" header="0.31496062992125984" footer="0.31496062992125984"/>
  <pageSetup paperSize="8" orientation="landscape" r:id="rId1"/>
  <headerFooter>
    <oddHeader>Page &amp;P of &amp;N</oddHeader>
    <oddFoote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31EDB-18E8-470E-90A4-6591C3BE8794}">
  <sheetPr>
    <pageSetUpPr fitToPage="1"/>
  </sheetPr>
  <dimension ref="A1:G13"/>
  <sheetViews>
    <sheetView workbookViewId="0">
      <selection activeCell="C15" sqref="C15"/>
    </sheetView>
  </sheetViews>
  <sheetFormatPr defaultColWidth="9.140625" defaultRowHeight="12.75" x14ac:dyDescent="0.2"/>
  <cols>
    <col min="1" max="1" width="16.5703125" style="2" customWidth="1"/>
    <col min="2" max="2" width="20.85546875" style="1" customWidth="1"/>
    <col min="3" max="3" width="75.42578125" style="1" customWidth="1"/>
    <col min="4" max="4" width="5.5703125" style="48" customWidth="1"/>
    <col min="5" max="5" width="5.42578125" style="17" customWidth="1"/>
    <col min="6" max="6" width="6.140625" style="17" customWidth="1"/>
    <col min="7" max="7" width="6.42578125" style="17" customWidth="1"/>
    <col min="8" max="16384" width="9.140625" style="1"/>
  </cols>
  <sheetData>
    <row r="1" spans="1:7" s="13" customFormat="1" ht="15.75" x14ac:dyDescent="0.2">
      <c r="A1" s="755" t="s">
        <v>85</v>
      </c>
      <c r="B1" s="756"/>
      <c r="C1" s="757"/>
      <c r="D1" s="48"/>
      <c r="E1" s="49"/>
      <c r="F1" s="49"/>
      <c r="G1" s="49"/>
    </row>
    <row r="2" spans="1:7" s="13" customFormat="1" ht="15.75" x14ac:dyDescent="0.2">
      <c r="A2" s="760" t="s">
        <v>0</v>
      </c>
      <c r="B2" s="761"/>
      <c r="C2" s="762"/>
      <c r="D2" s="48"/>
      <c r="E2" s="49"/>
      <c r="F2" s="49"/>
      <c r="G2" s="49"/>
    </row>
    <row r="3" spans="1:7" s="2" customFormat="1" ht="55.5" customHeight="1" x14ac:dyDescent="0.25">
      <c r="A3" s="6" t="s">
        <v>1</v>
      </c>
      <c r="B3" s="758" t="s">
        <v>80</v>
      </c>
      <c r="C3" s="759"/>
      <c r="D3" s="50"/>
      <c r="E3" s="18"/>
      <c r="F3" s="18"/>
      <c r="G3" s="18"/>
    </row>
    <row r="4" spans="1:7" x14ac:dyDescent="0.2">
      <c r="A4" s="6" t="s">
        <v>2</v>
      </c>
      <c r="B4" s="763" t="s">
        <v>3</v>
      </c>
      <c r="C4" s="764"/>
    </row>
    <row r="5" spans="1:7" x14ac:dyDescent="0.2">
      <c r="A5" s="6" t="s">
        <v>4</v>
      </c>
      <c r="B5" s="763" t="s">
        <v>89</v>
      </c>
      <c r="C5" s="764"/>
    </row>
    <row r="6" spans="1:7" x14ac:dyDescent="0.2">
      <c r="A6" s="6" t="s">
        <v>5</v>
      </c>
      <c r="B6" s="763" t="s">
        <v>303</v>
      </c>
      <c r="C6" s="764"/>
    </row>
    <row r="7" spans="1:7" ht="12.75" customHeight="1" x14ac:dyDescent="0.2">
      <c r="A7" s="749" t="s">
        <v>6</v>
      </c>
      <c r="B7" s="3" t="s">
        <v>81</v>
      </c>
      <c r="C7" s="7" t="s">
        <v>304</v>
      </c>
    </row>
    <row r="8" spans="1:7" x14ac:dyDescent="0.2">
      <c r="A8" s="750"/>
      <c r="B8" s="4" t="s">
        <v>82</v>
      </c>
      <c r="C8" s="8" t="s">
        <v>305</v>
      </c>
    </row>
    <row r="9" spans="1:7" x14ac:dyDescent="0.2">
      <c r="A9" s="750"/>
      <c r="B9" s="5" t="s">
        <v>83</v>
      </c>
      <c r="C9" s="9" t="s">
        <v>306</v>
      </c>
    </row>
    <row r="10" spans="1:7" ht="13.5" thickBot="1" x14ac:dyDescent="0.25">
      <c r="A10" s="751"/>
      <c r="B10" s="10" t="s">
        <v>84</v>
      </c>
      <c r="C10" s="11" t="s">
        <v>307</v>
      </c>
    </row>
    <row r="11" spans="1:7" ht="18" customHeight="1" x14ac:dyDescent="0.2">
      <c r="A11" s="752" t="s">
        <v>86</v>
      </c>
      <c r="B11" s="14" t="s">
        <v>87</v>
      </c>
      <c r="C11" s="47">
        <v>32</v>
      </c>
      <c r="D11" s="51">
        <v>15</v>
      </c>
      <c r="E11" s="52">
        <v>4</v>
      </c>
      <c r="F11" s="53">
        <v>11</v>
      </c>
      <c r="G11" s="54">
        <v>2</v>
      </c>
    </row>
    <row r="12" spans="1:7" ht="18.75" customHeight="1" x14ac:dyDescent="0.2">
      <c r="A12" s="753"/>
      <c r="B12" s="16" t="s">
        <v>299</v>
      </c>
      <c r="C12" s="45">
        <v>54</v>
      </c>
      <c r="D12" s="51">
        <v>26</v>
      </c>
      <c r="E12" s="52">
        <v>4</v>
      </c>
      <c r="F12" s="53">
        <v>22</v>
      </c>
      <c r="G12" s="54">
        <v>2</v>
      </c>
    </row>
    <row r="13" spans="1:7" ht="19.5" customHeight="1" thickBot="1" x14ac:dyDescent="0.25">
      <c r="A13" s="754"/>
      <c r="B13" s="15" t="s">
        <v>88</v>
      </c>
      <c r="C13" s="46">
        <v>129352496.81999999</v>
      </c>
      <c r="D13" s="55">
        <v>0.22743123598872328</v>
      </c>
      <c r="E13" s="56">
        <v>6.7558341159510052E-2</v>
      </c>
      <c r="F13" s="57">
        <v>0.16857590797295291</v>
      </c>
      <c r="G13" s="58">
        <v>0.53643451487881377</v>
      </c>
    </row>
  </sheetData>
  <mergeCells count="8">
    <mergeCell ref="A7:A10"/>
    <mergeCell ref="A11:A13"/>
    <mergeCell ref="A1:C1"/>
    <mergeCell ref="B3:C3"/>
    <mergeCell ref="A2:C2"/>
    <mergeCell ref="B4:C4"/>
    <mergeCell ref="B5:C5"/>
    <mergeCell ref="B6:C6"/>
  </mergeCells>
  <pageMargins left="0.70866141732283472" right="0.70866141732283472" top="0.74803149606299213" bottom="0.74803149606299213" header="0.31496062992125984" footer="0.31496062992125984"/>
  <pageSetup paperSize="8"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3BDE3-3EAB-48BF-9D0B-E69C6D9A9258}">
  <sheetPr>
    <tabColor rgb="FFFFFF00"/>
    <pageSetUpPr fitToPage="1"/>
  </sheetPr>
  <dimension ref="A1:BG31"/>
  <sheetViews>
    <sheetView topLeftCell="AC29" zoomScale="75" zoomScaleNormal="75" workbookViewId="0">
      <selection activeCell="AQ38" sqref="AQ38"/>
    </sheetView>
  </sheetViews>
  <sheetFormatPr defaultColWidth="9.140625" defaultRowHeight="12" x14ac:dyDescent="0.2"/>
  <cols>
    <col min="1" max="1" width="12.5703125" style="21" customWidth="1"/>
    <col min="2" max="2" width="11.7109375" style="21" customWidth="1"/>
    <col min="3" max="3" width="4.42578125" style="34" customWidth="1"/>
    <col min="4" max="4" width="14.5703125" style="21" customWidth="1"/>
    <col min="5" max="5" width="13.7109375" style="21" customWidth="1"/>
    <col min="6" max="6" width="13.85546875" style="21" customWidth="1"/>
    <col min="7" max="8" width="9.140625" style="21" customWidth="1"/>
    <col min="9" max="9" width="12" style="21" customWidth="1"/>
    <col min="10" max="10" width="9.42578125" style="21" hidden="1" customWidth="1"/>
    <col min="11" max="11" width="9" style="21" hidden="1" customWidth="1"/>
    <col min="12" max="12" width="6.7109375" style="192" customWidth="1"/>
    <col min="13" max="13" width="15.140625" style="515" customWidth="1"/>
    <col min="14" max="14" width="12.42578125" style="21" customWidth="1"/>
    <col min="15" max="15" width="10.85546875" style="21" customWidth="1"/>
    <col min="16" max="16" width="10.7109375" style="21" customWidth="1"/>
    <col min="17" max="17" width="10.140625" style="21" customWidth="1"/>
    <col min="18" max="21" width="13" style="655" customWidth="1"/>
    <col min="22" max="22" width="13.42578125" style="33" hidden="1" customWidth="1"/>
    <col min="23" max="23" width="13.28515625" style="33" customWidth="1"/>
    <col min="24" max="24" width="11.5703125" style="21" customWidth="1"/>
    <col min="25" max="25" width="13.42578125" style="21" customWidth="1"/>
    <col min="26" max="26" width="10.85546875" style="21" customWidth="1"/>
    <col min="27" max="27" width="14" style="21" customWidth="1"/>
    <col min="28" max="28" width="9.140625" style="136" customWidth="1"/>
    <col min="29" max="29" width="10.28515625" style="21" customWidth="1"/>
    <col min="30" max="30" width="16" style="21" customWidth="1"/>
    <col min="31" max="31" width="9.140625" style="21" customWidth="1"/>
    <col min="32" max="32" width="10.7109375" style="21" customWidth="1"/>
    <col min="33" max="33" width="13.85546875" style="21" customWidth="1"/>
    <col min="34" max="34" width="9.140625" style="21" customWidth="1"/>
    <col min="35" max="35" width="13.5703125" style="21" customWidth="1"/>
    <col min="36" max="36" width="18.5703125" style="21" customWidth="1"/>
    <col min="37" max="37" width="9.140625" style="606" customWidth="1"/>
    <col min="38" max="38" width="13.28515625" style="21" customWidth="1"/>
    <col min="39" max="39" width="9.140625" style="136" customWidth="1"/>
    <col min="40" max="40" width="18.140625" style="21" customWidth="1"/>
    <col min="41" max="41" width="17.5703125" style="21" customWidth="1"/>
    <col min="42" max="42" width="13.7109375" style="21" customWidth="1"/>
    <col min="43" max="43" width="10.140625" style="21" customWidth="1"/>
    <col min="44" max="44" width="13.5703125" style="21" customWidth="1"/>
    <col min="45" max="45" width="10" style="21" customWidth="1"/>
    <col min="46" max="46" width="18.28515625" style="21" customWidth="1"/>
    <col min="47" max="50" width="9.140625" style="21" hidden="1" customWidth="1"/>
    <col min="51" max="51" width="0" style="21" hidden="1" customWidth="1"/>
    <col min="52" max="52" width="39.7109375" style="21" hidden="1" customWidth="1"/>
    <col min="53" max="53" width="31.7109375" style="21" hidden="1" customWidth="1"/>
    <col min="54" max="54" width="31.28515625" style="21" hidden="1" customWidth="1"/>
    <col min="55" max="55" width="13" style="21" customWidth="1"/>
    <col min="56" max="56" width="39.7109375" style="21" hidden="1" customWidth="1"/>
    <col min="57" max="57" width="26.7109375" style="21" hidden="1" customWidth="1"/>
    <col min="58" max="58" width="26.5703125" style="21" hidden="1" customWidth="1"/>
    <col min="59" max="59" width="21" style="613" hidden="1" customWidth="1"/>
    <col min="60" max="16384" width="9.140625" style="21"/>
  </cols>
  <sheetData>
    <row r="1" spans="1:59" s="23" customFormat="1" ht="22.5" customHeight="1" thickBot="1" x14ac:dyDescent="0.3">
      <c r="A1" s="765" t="s">
        <v>95</v>
      </c>
      <c r="B1" s="766"/>
      <c r="C1" s="766"/>
      <c r="D1" s="766"/>
      <c r="E1" s="766"/>
      <c r="F1" s="766"/>
      <c r="G1" s="766"/>
      <c r="H1" s="766"/>
      <c r="I1" s="766"/>
      <c r="J1" s="766"/>
      <c r="K1" s="766"/>
      <c r="L1" s="214" t="s">
        <v>231</v>
      </c>
      <c r="M1" s="514"/>
      <c r="N1" s="214"/>
      <c r="O1" s="214"/>
      <c r="P1" s="214"/>
      <c r="Q1" s="214"/>
      <c r="R1" s="514"/>
      <c r="S1" s="514"/>
      <c r="T1" s="514"/>
      <c r="U1" s="514"/>
      <c r="V1" s="31"/>
      <c r="W1" s="31"/>
      <c r="X1" s="214"/>
      <c r="Y1" s="26"/>
      <c r="AB1" s="541"/>
      <c r="AK1" s="635"/>
      <c r="AM1" s="541"/>
      <c r="BG1" s="612"/>
    </row>
    <row r="2" spans="1:59" s="23" customFormat="1" ht="25.5" customHeight="1" x14ac:dyDescent="0.25">
      <c r="A2" s="767" t="s">
        <v>6</v>
      </c>
      <c r="B2" s="768" t="s">
        <v>92</v>
      </c>
      <c r="C2" s="769" t="s">
        <v>7</v>
      </c>
      <c r="D2" s="770"/>
      <c r="E2" s="768" t="s">
        <v>94</v>
      </c>
      <c r="F2" s="768" t="s">
        <v>93</v>
      </c>
      <c r="G2" s="768" t="s">
        <v>8</v>
      </c>
      <c r="H2" s="208" t="s">
        <v>183</v>
      </c>
      <c r="I2" s="768" t="s">
        <v>9</v>
      </c>
      <c r="J2" s="773" t="s">
        <v>10</v>
      </c>
      <c r="K2" s="774"/>
      <c r="L2" s="798" t="s">
        <v>96</v>
      </c>
      <c r="M2" s="799"/>
      <c r="N2" s="802" t="s">
        <v>97</v>
      </c>
      <c r="O2" s="804" t="s">
        <v>11</v>
      </c>
      <c r="P2" s="804" t="s">
        <v>12</v>
      </c>
      <c r="Q2" s="804" t="s">
        <v>275</v>
      </c>
      <c r="R2" s="805" t="s">
        <v>13</v>
      </c>
      <c r="S2" s="805" t="s">
        <v>100</v>
      </c>
      <c r="T2" s="805" t="s">
        <v>99</v>
      </c>
      <c r="U2" s="805" t="s">
        <v>101</v>
      </c>
      <c r="V2" s="804" t="s">
        <v>98</v>
      </c>
      <c r="W2" s="804"/>
      <c r="X2" s="804"/>
      <c r="Y2" s="833" t="s">
        <v>102</v>
      </c>
      <c r="Z2" s="834" t="s">
        <v>572</v>
      </c>
      <c r="AA2" s="835"/>
      <c r="AB2" s="836"/>
      <c r="AC2" s="834" t="s">
        <v>312</v>
      </c>
      <c r="AD2" s="835"/>
      <c r="AE2" s="836"/>
      <c r="AF2" s="834" t="s">
        <v>313</v>
      </c>
      <c r="AG2" s="835"/>
      <c r="AH2" s="836"/>
      <c r="AI2" s="834" t="s">
        <v>566</v>
      </c>
      <c r="AJ2" s="835"/>
      <c r="AK2" s="836"/>
      <c r="AL2" s="806" t="s">
        <v>567</v>
      </c>
      <c r="AM2" s="807"/>
      <c r="AN2" s="807"/>
      <c r="AO2" s="807"/>
      <c r="AP2" s="807"/>
      <c r="AQ2" s="807"/>
      <c r="AR2" s="807"/>
      <c r="AS2" s="807"/>
      <c r="AT2" s="808"/>
      <c r="AU2" s="777" t="s">
        <v>669</v>
      </c>
      <c r="AV2" s="778"/>
      <c r="AW2" s="778"/>
      <c r="AX2" s="778"/>
      <c r="AY2" s="778"/>
      <c r="AZ2" s="778"/>
      <c r="BA2" s="778"/>
      <c r="BB2" s="778"/>
      <c r="BC2" s="778"/>
      <c r="BD2" s="778"/>
      <c r="BE2" s="778"/>
      <c r="BF2" s="779"/>
      <c r="BG2" s="612"/>
    </row>
    <row r="3" spans="1:59" s="23" customFormat="1" ht="34.15" customHeight="1" x14ac:dyDescent="0.25">
      <c r="A3" s="767"/>
      <c r="B3" s="768"/>
      <c r="C3" s="771"/>
      <c r="D3" s="772"/>
      <c r="E3" s="768"/>
      <c r="F3" s="768"/>
      <c r="G3" s="768"/>
      <c r="H3" s="208"/>
      <c r="I3" s="768"/>
      <c r="J3" s="775"/>
      <c r="K3" s="776"/>
      <c r="L3" s="800"/>
      <c r="M3" s="801"/>
      <c r="N3" s="803"/>
      <c r="O3" s="804"/>
      <c r="P3" s="804"/>
      <c r="Q3" s="804"/>
      <c r="R3" s="805"/>
      <c r="S3" s="805"/>
      <c r="T3" s="805"/>
      <c r="U3" s="805"/>
      <c r="V3" s="523" t="s">
        <v>232</v>
      </c>
      <c r="W3" s="523" t="s">
        <v>233</v>
      </c>
      <c r="X3" s="523" t="s">
        <v>234</v>
      </c>
      <c r="Y3" s="833"/>
      <c r="Z3" s="66" t="s">
        <v>310</v>
      </c>
      <c r="AA3" s="84" t="s">
        <v>323</v>
      </c>
      <c r="AB3" s="132" t="s">
        <v>311</v>
      </c>
      <c r="AC3" s="66" t="s">
        <v>310</v>
      </c>
      <c r="AD3" s="84" t="s">
        <v>323</v>
      </c>
      <c r="AE3" s="67" t="s">
        <v>311</v>
      </c>
      <c r="AF3" s="66" t="s">
        <v>310</v>
      </c>
      <c r="AG3" s="84" t="s">
        <v>323</v>
      </c>
      <c r="AH3" s="67" t="s">
        <v>311</v>
      </c>
      <c r="AI3" s="66" t="s">
        <v>310</v>
      </c>
      <c r="AJ3" s="84" t="s">
        <v>323</v>
      </c>
      <c r="AK3" s="636" t="s">
        <v>311</v>
      </c>
      <c r="AL3" s="529" t="s">
        <v>310</v>
      </c>
      <c r="AM3" s="547" t="s">
        <v>311</v>
      </c>
      <c r="AN3" s="530" t="s">
        <v>314</v>
      </c>
      <c r="AO3" s="530" t="s">
        <v>315</v>
      </c>
      <c r="AP3" s="530" t="s">
        <v>316</v>
      </c>
      <c r="AQ3" s="530" t="s">
        <v>317</v>
      </c>
      <c r="AR3" s="530" t="s">
        <v>318</v>
      </c>
      <c r="AS3" s="530" t="s">
        <v>319</v>
      </c>
      <c r="AT3" s="531" t="s">
        <v>321</v>
      </c>
      <c r="AU3" s="200" t="s">
        <v>668</v>
      </c>
      <c r="AV3" s="200" t="s">
        <v>667</v>
      </c>
      <c r="AW3" s="200" t="s">
        <v>666</v>
      </c>
      <c r="AX3" s="200" t="s">
        <v>665</v>
      </c>
      <c r="AY3" s="199" t="s">
        <v>664</v>
      </c>
      <c r="AZ3" s="199" t="s">
        <v>663</v>
      </c>
      <c r="BA3" s="199" t="s">
        <v>662</v>
      </c>
      <c r="BB3" s="199" t="s">
        <v>661</v>
      </c>
      <c r="BC3" s="199" t="s">
        <v>660</v>
      </c>
      <c r="BD3" s="199" t="s">
        <v>659</v>
      </c>
      <c r="BE3" s="199" t="s">
        <v>658</v>
      </c>
      <c r="BF3" s="199" t="s">
        <v>657</v>
      </c>
      <c r="BG3" s="612"/>
    </row>
    <row r="4" spans="1:59" s="23" customFormat="1" ht="267.75" customHeight="1" thickBot="1" x14ac:dyDescent="0.3">
      <c r="A4" s="780" t="s">
        <v>90</v>
      </c>
      <c r="B4" s="783" t="s">
        <v>14</v>
      </c>
      <c r="C4" s="497">
        <v>1</v>
      </c>
      <c r="D4" s="786" t="s">
        <v>91</v>
      </c>
      <c r="E4" s="213" t="s">
        <v>78</v>
      </c>
      <c r="F4" s="206" t="s">
        <v>15</v>
      </c>
      <c r="G4" s="206" t="s">
        <v>16</v>
      </c>
      <c r="H4" s="206" t="s">
        <v>184</v>
      </c>
      <c r="I4" s="206" t="s">
        <v>17</v>
      </c>
      <c r="J4" s="507" t="s">
        <v>276</v>
      </c>
      <c r="K4" s="206" t="s">
        <v>119</v>
      </c>
      <c r="L4" s="678" t="s">
        <v>134</v>
      </c>
      <c r="M4" s="235" t="s">
        <v>18</v>
      </c>
      <c r="N4" s="206" t="s">
        <v>15</v>
      </c>
      <c r="O4" s="206" t="s">
        <v>19</v>
      </c>
      <c r="P4" s="206" t="s">
        <v>20</v>
      </c>
      <c r="Q4" s="206" t="s">
        <v>21</v>
      </c>
      <c r="R4" s="179" t="s">
        <v>22</v>
      </c>
      <c r="S4" s="179" t="s">
        <v>23</v>
      </c>
      <c r="T4" s="179" t="s">
        <v>24</v>
      </c>
      <c r="U4" s="179" t="s">
        <v>251</v>
      </c>
      <c r="V4" s="203">
        <f>800000+50000</f>
        <v>850000</v>
      </c>
      <c r="W4" s="203">
        <v>1421000</v>
      </c>
      <c r="X4" s="204" t="s">
        <v>252</v>
      </c>
      <c r="Y4" s="209" t="s">
        <v>253</v>
      </c>
      <c r="Z4" s="549" t="s">
        <v>457</v>
      </c>
      <c r="AA4" s="550" t="s">
        <v>573</v>
      </c>
      <c r="AB4" s="551">
        <v>1</v>
      </c>
      <c r="AC4" s="789" t="s">
        <v>574</v>
      </c>
      <c r="AD4" s="790"/>
      <c r="AE4" s="791"/>
      <c r="AF4" s="549" t="s">
        <v>457</v>
      </c>
      <c r="AG4" s="550" t="s">
        <v>575</v>
      </c>
      <c r="AH4" s="551">
        <v>1</v>
      </c>
      <c r="AI4" s="549" t="s">
        <v>457</v>
      </c>
      <c r="AJ4" s="550" t="s">
        <v>576</v>
      </c>
      <c r="AK4" s="609">
        <v>1</v>
      </c>
      <c r="AL4" s="552" t="s">
        <v>330</v>
      </c>
      <c r="AM4" s="528">
        <v>0</v>
      </c>
      <c r="AN4" s="553" t="s">
        <v>996</v>
      </c>
      <c r="AO4" s="633" t="s">
        <v>997</v>
      </c>
      <c r="AP4" s="553" t="s">
        <v>583</v>
      </c>
      <c r="AQ4" s="554">
        <v>44895</v>
      </c>
      <c r="AR4" s="188">
        <v>1420973</v>
      </c>
      <c r="AS4" s="528">
        <f>AR4/W4</f>
        <v>0.99998099929627027</v>
      </c>
      <c r="AT4" s="562" t="s">
        <v>577</v>
      </c>
      <c r="AU4" s="196" t="s">
        <v>654</v>
      </c>
      <c r="AV4" s="196" t="s">
        <v>654</v>
      </c>
      <c r="AW4" s="608" t="s">
        <v>654</v>
      </c>
      <c r="AX4" s="430" t="s">
        <v>654</v>
      </c>
      <c r="AY4" s="169" t="s">
        <v>457</v>
      </c>
      <c r="AZ4" s="193" t="s">
        <v>969</v>
      </c>
      <c r="BA4" s="193" t="s">
        <v>968</v>
      </c>
      <c r="BB4" s="454" t="s">
        <v>905</v>
      </c>
      <c r="BC4" s="190" t="s">
        <v>330</v>
      </c>
      <c r="BD4" s="193" t="s">
        <v>967</v>
      </c>
      <c r="BE4" s="193" t="s">
        <v>878</v>
      </c>
      <c r="BF4" s="193" t="s">
        <v>738</v>
      </c>
      <c r="BG4" s="612"/>
    </row>
    <row r="5" spans="1:59" s="23" customFormat="1" ht="98.25" customHeight="1" x14ac:dyDescent="0.25">
      <c r="A5" s="781"/>
      <c r="B5" s="784"/>
      <c r="C5" s="202"/>
      <c r="D5" s="787"/>
      <c r="E5" s="786" t="s">
        <v>79</v>
      </c>
      <c r="F5" s="809" t="s">
        <v>31</v>
      </c>
      <c r="G5" s="809" t="s">
        <v>16</v>
      </c>
      <c r="H5" s="810" t="s">
        <v>16</v>
      </c>
      <c r="I5" s="813" t="s">
        <v>32</v>
      </c>
      <c r="J5" s="814" t="s">
        <v>277</v>
      </c>
      <c r="K5" s="817">
        <v>1</v>
      </c>
      <c r="L5" s="679" t="s">
        <v>135</v>
      </c>
      <c r="M5" s="233" t="s">
        <v>104</v>
      </c>
      <c r="N5" s="809" t="s">
        <v>31</v>
      </c>
      <c r="O5" s="809" t="s">
        <v>29</v>
      </c>
      <c r="P5" s="809" t="s">
        <v>30</v>
      </c>
      <c r="Q5" s="490">
        <v>44742</v>
      </c>
      <c r="R5" s="658" t="s">
        <v>105</v>
      </c>
      <c r="S5" s="658" t="s">
        <v>105</v>
      </c>
      <c r="T5" s="658" t="s">
        <v>105</v>
      </c>
      <c r="U5" s="658" t="s">
        <v>105</v>
      </c>
      <c r="V5" s="227">
        <f>320000+0+0+0+50000</f>
        <v>370000</v>
      </c>
      <c r="W5" s="227">
        <f>1543455.45+82730.97+34208.62</f>
        <v>1660395.04</v>
      </c>
      <c r="X5" s="222" t="s">
        <v>235</v>
      </c>
      <c r="Y5" s="792" t="s">
        <v>106</v>
      </c>
      <c r="Z5" s="563" t="s">
        <v>457</v>
      </c>
      <c r="AA5" s="564" t="s">
        <v>578</v>
      </c>
      <c r="AB5" s="565">
        <v>1</v>
      </c>
      <c r="AC5" s="563" t="s">
        <v>457</v>
      </c>
      <c r="AD5" s="564" t="s">
        <v>579</v>
      </c>
      <c r="AE5" s="565">
        <v>1</v>
      </c>
      <c r="AF5" s="563" t="s">
        <v>457</v>
      </c>
      <c r="AG5" s="564" t="s">
        <v>580</v>
      </c>
      <c r="AH5" s="565">
        <v>1</v>
      </c>
      <c r="AI5" s="563" t="s">
        <v>457</v>
      </c>
      <c r="AJ5" s="564" t="s">
        <v>585</v>
      </c>
      <c r="AK5" s="637">
        <v>1</v>
      </c>
      <c r="AL5" s="563" t="s">
        <v>457</v>
      </c>
      <c r="AM5" s="566">
        <v>1</v>
      </c>
      <c r="AN5" s="795" t="s">
        <v>581</v>
      </c>
      <c r="AO5" s="795" t="s">
        <v>582</v>
      </c>
      <c r="AP5" s="795" t="s">
        <v>583</v>
      </c>
      <c r="AQ5" s="819">
        <v>44772</v>
      </c>
      <c r="AR5" s="822">
        <f>1543455+82730.99+27931.8</f>
        <v>1654117.79</v>
      </c>
      <c r="AS5" s="825">
        <f>AR5/W5</f>
        <v>0.99621942378242712</v>
      </c>
      <c r="AT5" s="828" t="s">
        <v>584</v>
      </c>
      <c r="AU5" s="196" t="s">
        <v>654</v>
      </c>
      <c r="AV5" s="196" t="s">
        <v>654</v>
      </c>
      <c r="AW5" s="608" t="s">
        <v>654</v>
      </c>
      <c r="AX5" s="430" t="s">
        <v>654</v>
      </c>
      <c r="AY5" s="126" t="s">
        <v>457</v>
      </c>
      <c r="AZ5" s="193" t="s">
        <v>966</v>
      </c>
      <c r="BA5" s="193" t="s">
        <v>965</v>
      </c>
      <c r="BB5" s="453" t="s">
        <v>964</v>
      </c>
      <c r="BC5" s="126" t="s">
        <v>457</v>
      </c>
      <c r="BD5" s="193" t="s">
        <v>963</v>
      </c>
      <c r="BE5" s="193" t="s">
        <v>738</v>
      </c>
      <c r="BF5" s="193" t="s">
        <v>738</v>
      </c>
      <c r="BG5" s="612"/>
    </row>
    <row r="6" spans="1:59" s="23" customFormat="1" ht="57.75" customHeight="1" x14ac:dyDescent="0.25">
      <c r="A6" s="781"/>
      <c r="B6" s="784"/>
      <c r="C6" s="202"/>
      <c r="D6" s="787"/>
      <c r="E6" s="787"/>
      <c r="F6" s="809"/>
      <c r="G6" s="809"/>
      <c r="H6" s="811"/>
      <c r="I6" s="813"/>
      <c r="J6" s="815"/>
      <c r="K6" s="818"/>
      <c r="L6" s="680" t="s">
        <v>136</v>
      </c>
      <c r="M6" s="681" t="s">
        <v>107</v>
      </c>
      <c r="N6" s="809"/>
      <c r="O6" s="809"/>
      <c r="P6" s="809"/>
      <c r="Q6" s="492">
        <v>44742</v>
      </c>
      <c r="R6" s="660" t="s">
        <v>108</v>
      </c>
      <c r="S6" s="660" t="s">
        <v>108</v>
      </c>
      <c r="T6" s="660" t="s">
        <v>108</v>
      </c>
      <c r="U6" s="660" t="s">
        <v>108</v>
      </c>
      <c r="V6" s="501"/>
      <c r="W6" s="501"/>
      <c r="X6" s="488"/>
      <c r="Y6" s="793"/>
      <c r="Z6" s="572" t="s">
        <v>330</v>
      </c>
      <c r="AA6" s="557" t="s">
        <v>586</v>
      </c>
      <c r="AB6" s="569">
        <v>0</v>
      </c>
      <c r="AC6" s="568" t="s">
        <v>457</v>
      </c>
      <c r="AD6" s="557" t="s">
        <v>587</v>
      </c>
      <c r="AE6" s="569">
        <v>1</v>
      </c>
      <c r="AF6" s="568" t="s">
        <v>457</v>
      </c>
      <c r="AG6" s="557" t="s">
        <v>588</v>
      </c>
      <c r="AH6" s="569">
        <v>1</v>
      </c>
      <c r="AI6" s="572" t="s">
        <v>330</v>
      </c>
      <c r="AJ6" s="557" t="s">
        <v>586</v>
      </c>
      <c r="AK6" s="638">
        <v>0</v>
      </c>
      <c r="AL6" s="572" t="s">
        <v>330</v>
      </c>
      <c r="AM6" s="571">
        <v>0.5</v>
      </c>
      <c r="AN6" s="796"/>
      <c r="AO6" s="796"/>
      <c r="AP6" s="796"/>
      <c r="AQ6" s="820"/>
      <c r="AR6" s="823"/>
      <c r="AS6" s="826"/>
      <c r="AT6" s="829"/>
      <c r="AU6" s="196" t="s">
        <v>654</v>
      </c>
      <c r="AV6" s="196" t="s">
        <v>654</v>
      </c>
      <c r="AW6" s="196" t="s">
        <v>654</v>
      </c>
      <c r="AX6" s="430" t="s">
        <v>654</v>
      </c>
      <c r="AY6" s="190" t="s">
        <v>330</v>
      </c>
      <c r="AZ6" s="193" t="s">
        <v>962</v>
      </c>
      <c r="BA6" s="193" t="s">
        <v>738</v>
      </c>
      <c r="BB6" s="193" t="s">
        <v>738</v>
      </c>
      <c r="BC6" s="190" t="s">
        <v>330</v>
      </c>
      <c r="BD6" s="193" t="s">
        <v>961</v>
      </c>
      <c r="BE6" s="193" t="s">
        <v>738</v>
      </c>
      <c r="BF6" s="193" t="s">
        <v>738</v>
      </c>
      <c r="BG6" s="612"/>
    </row>
    <row r="7" spans="1:59" s="23" customFormat="1" ht="50.25" customHeight="1" x14ac:dyDescent="0.25">
      <c r="A7" s="781"/>
      <c r="B7" s="784"/>
      <c r="C7" s="202"/>
      <c r="D7" s="787"/>
      <c r="E7" s="787"/>
      <c r="F7" s="809"/>
      <c r="G7" s="809"/>
      <c r="H7" s="811"/>
      <c r="I7" s="813"/>
      <c r="J7" s="815"/>
      <c r="K7" s="818"/>
      <c r="L7" s="682" t="s">
        <v>137</v>
      </c>
      <c r="M7" s="234" t="s">
        <v>109</v>
      </c>
      <c r="N7" s="809"/>
      <c r="O7" s="809"/>
      <c r="P7" s="809"/>
      <c r="Q7" s="493">
        <v>44742</v>
      </c>
      <c r="R7" s="677" t="s">
        <v>110</v>
      </c>
      <c r="S7" s="677" t="s">
        <v>110</v>
      </c>
      <c r="T7" s="677" t="s">
        <v>110</v>
      </c>
      <c r="U7" s="677" t="s">
        <v>110</v>
      </c>
      <c r="V7" s="501"/>
      <c r="W7" s="501"/>
      <c r="X7" s="488"/>
      <c r="Y7" s="793"/>
      <c r="Z7" s="556" t="s">
        <v>457</v>
      </c>
      <c r="AA7" s="831" t="s">
        <v>589</v>
      </c>
      <c r="AB7" s="558">
        <v>1</v>
      </c>
      <c r="AC7" s="556" t="s">
        <v>457</v>
      </c>
      <c r="AD7" s="831" t="s">
        <v>590</v>
      </c>
      <c r="AE7" s="558">
        <v>1</v>
      </c>
      <c r="AF7" s="556" t="s">
        <v>457</v>
      </c>
      <c r="AG7" s="831" t="s">
        <v>591</v>
      </c>
      <c r="AH7" s="558">
        <v>1</v>
      </c>
      <c r="AI7" s="556" t="s">
        <v>457</v>
      </c>
      <c r="AJ7" s="831" t="s">
        <v>592</v>
      </c>
      <c r="AK7" s="639">
        <v>1</v>
      </c>
      <c r="AL7" s="556" t="s">
        <v>457</v>
      </c>
      <c r="AM7" s="559">
        <v>1</v>
      </c>
      <c r="AN7" s="796"/>
      <c r="AO7" s="796"/>
      <c r="AP7" s="796"/>
      <c r="AQ7" s="820"/>
      <c r="AR7" s="823"/>
      <c r="AS7" s="826"/>
      <c r="AT7" s="829"/>
      <c r="AU7" s="196" t="s">
        <v>654</v>
      </c>
      <c r="AV7" s="196" t="s">
        <v>654</v>
      </c>
      <c r="AW7" s="196" t="s">
        <v>654</v>
      </c>
      <c r="AX7" s="430" t="s">
        <v>654</v>
      </c>
      <c r="AY7" s="126" t="s">
        <v>457</v>
      </c>
      <c r="AZ7" s="193" t="s">
        <v>960</v>
      </c>
      <c r="BA7" s="193" t="s">
        <v>738</v>
      </c>
      <c r="BB7" s="193" t="s">
        <v>738</v>
      </c>
      <c r="BC7" s="126" t="s">
        <v>457</v>
      </c>
      <c r="BD7" s="193" t="s">
        <v>959</v>
      </c>
      <c r="BE7" s="193" t="s">
        <v>738</v>
      </c>
      <c r="BF7" s="193" t="s">
        <v>738</v>
      </c>
      <c r="BG7" s="612"/>
    </row>
    <row r="8" spans="1:59" s="23" customFormat="1" ht="57" customHeight="1" x14ac:dyDescent="0.25">
      <c r="A8" s="781"/>
      <c r="B8" s="784"/>
      <c r="C8" s="202"/>
      <c r="D8" s="787"/>
      <c r="E8" s="787"/>
      <c r="F8" s="809"/>
      <c r="G8" s="809"/>
      <c r="H8" s="811"/>
      <c r="I8" s="813"/>
      <c r="J8" s="815"/>
      <c r="K8" s="818"/>
      <c r="L8" s="680" t="s">
        <v>138</v>
      </c>
      <c r="M8" s="681" t="s">
        <v>111</v>
      </c>
      <c r="N8" s="809"/>
      <c r="O8" s="809"/>
      <c r="P8" s="809"/>
      <c r="Q8" s="492">
        <v>44742</v>
      </c>
      <c r="R8" s="660" t="s">
        <v>113</v>
      </c>
      <c r="S8" s="660" t="str">
        <f t="shared" ref="S8:U9" si="0">R8</f>
        <v>1 fincom sitting held for the quarter</v>
      </c>
      <c r="T8" s="660" t="str">
        <f t="shared" si="0"/>
        <v>1 fincom sitting held for the quarter</v>
      </c>
      <c r="U8" s="660" t="str">
        <f t="shared" si="0"/>
        <v>1 fincom sitting held for the quarter</v>
      </c>
      <c r="V8" s="501"/>
      <c r="W8" s="501"/>
      <c r="X8" s="488"/>
      <c r="Y8" s="793"/>
      <c r="Z8" s="556" t="s">
        <v>501</v>
      </c>
      <c r="AA8" s="832"/>
      <c r="AB8" s="558">
        <v>1</v>
      </c>
      <c r="AC8" s="556" t="s">
        <v>501</v>
      </c>
      <c r="AD8" s="832"/>
      <c r="AE8" s="558">
        <v>1</v>
      </c>
      <c r="AF8" s="556" t="s">
        <v>501</v>
      </c>
      <c r="AG8" s="832"/>
      <c r="AH8" s="558">
        <v>1</v>
      </c>
      <c r="AI8" s="556" t="s">
        <v>501</v>
      </c>
      <c r="AJ8" s="832"/>
      <c r="AK8" s="639">
        <v>1</v>
      </c>
      <c r="AL8" s="556" t="s">
        <v>501</v>
      </c>
      <c r="AM8" s="559">
        <v>1</v>
      </c>
      <c r="AN8" s="796"/>
      <c r="AO8" s="796"/>
      <c r="AP8" s="796"/>
      <c r="AQ8" s="820"/>
      <c r="AR8" s="823"/>
      <c r="AS8" s="826"/>
      <c r="AT8" s="829"/>
      <c r="AU8" s="196" t="s">
        <v>654</v>
      </c>
      <c r="AV8" s="196" t="s">
        <v>654</v>
      </c>
      <c r="AW8" s="196" t="s">
        <v>654</v>
      </c>
      <c r="AX8" s="430" t="s">
        <v>654</v>
      </c>
      <c r="AY8" s="126" t="s">
        <v>457</v>
      </c>
      <c r="AZ8" s="193" t="s">
        <v>960</v>
      </c>
      <c r="BA8" s="193" t="s">
        <v>738</v>
      </c>
      <c r="BB8" s="193" t="s">
        <v>738</v>
      </c>
      <c r="BC8" s="126" t="s">
        <v>457</v>
      </c>
      <c r="BD8" s="193" t="s">
        <v>959</v>
      </c>
      <c r="BE8" s="193" t="s">
        <v>738</v>
      </c>
      <c r="BF8" s="193" t="s">
        <v>738</v>
      </c>
      <c r="BG8" s="612"/>
    </row>
    <row r="9" spans="1:59" s="23" customFormat="1" ht="58.5" customHeight="1" thickBot="1" x14ac:dyDescent="0.3">
      <c r="A9" s="781"/>
      <c r="B9" s="784"/>
      <c r="C9" s="202"/>
      <c r="D9" s="787"/>
      <c r="E9" s="787"/>
      <c r="F9" s="809"/>
      <c r="G9" s="809"/>
      <c r="H9" s="812"/>
      <c r="I9" s="813"/>
      <c r="J9" s="816"/>
      <c r="K9" s="818"/>
      <c r="L9" s="683" t="s">
        <v>139</v>
      </c>
      <c r="M9" s="684" t="s">
        <v>112</v>
      </c>
      <c r="N9" s="809"/>
      <c r="O9" s="809"/>
      <c r="P9" s="809"/>
      <c r="Q9" s="491">
        <v>44742</v>
      </c>
      <c r="R9" s="657" t="s">
        <v>114</v>
      </c>
      <c r="S9" s="657" t="str">
        <f t="shared" si="0"/>
        <v>1 HRRE sitting held for the quarter</v>
      </c>
      <c r="T9" s="657" t="str">
        <f t="shared" si="0"/>
        <v>1 HRRE sitting held for the quarter</v>
      </c>
      <c r="U9" s="657" t="str">
        <f t="shared" si="0"/>
        <v>1 HRRE sitting held for the quarter</v>
      </c>
      <c r="V9" s="501"/>
      <c r="W9" s="501"/>
      <c r="X9" s="488"/>
      <c r="Y9" s="794"/>
      <c r="Z9" s="574" t="s">
        <v>330</v>
      </c>
      <c r="AA9" s="573" t="s">
        <v>594</v>
      </c>
      <c r="AB9" s="560">
        <v>0</v>
      </c>
      <c r="AC9" s="574" t="s">
        <v>330</v>
      </c>
      <c r="AD9" s="573" t="str">
        <f>AA9</f>
        <v xml:space="preserve">No recorded sitting of HRRE in quarter </v>
      </c>
      <c r="AE9" s="560">
        <v>0</v>
      </c>
      <c r="AF9" s="575" t="s">
        <v>457</v>
      </c>
      <c r="AG9" s="573" t="s">
        <v>593</v>
      </c>
      <c r="AH9" s="560">
        <v>1</v>
      </c>
      <c r="AI9" s="574" t="s">
        <v>330</v>
      </c>
      <c r="AJ9" s="573" t="str">
        <f>AD9</f>
        <v xml:space="preserve">No recorded sitting of HRRE in quarter </v>
      </c>
      <c r="AK9" s="640">
        <v>0</v>
      </c>
      <c r="AL9" s="574" t="s">
        <v>330</v>
      </c>
      <c r="AM9" s="561">
        <v>0.5</v>
      </c>
      <c r="AN9" s="797"/>
      <c r="AO9" s="797"/>
      <c r="AP9" s="797"/>
      <c r="AQ9" s="821"/>
      <c r="AR9" s="824"/>
      <c r="AS9" s="827"/>
      <c r="AT9" s="830"/>
      <c r="AU9" s="196" t="s">
        <v>654</v>
      </c>
      <c r="AV9" s="196" t="s">
        <v>654</v>
      </c>
      <c r="AW9" s="196" t="s">
        <v>654</v>
      </c>
      <c r="AX9" s="430" t="s">
        <v>654</v>
      </c>
      <c r="AY9" s="190" t="s">
        <v>330</v>
      </c>
      <c r="AZ9" s="193" t="s">
        <v>958</v>
      </c>
      <c r="BA9" s="193" t="s">
        <v>738</v>
      </c>
      <c r="BB9" s="193" t="s">
        <v>738</v>
      </c>
      <c r="BC9" s="190" t="s">
        <v>330</v>
      </c>
      <c r="BD9" s="193" t="s">
        <v>957</v>
      </c>
      <c r="BE9" s="193" t="s">
        <v>738</v>
      </c>
      <c r="BF9" s="193" t="s">
        <v>738</v>
      </c>
      <c r="BG9" s="612"/>
    </row>
    <row r="10" spans="1:59" s="23" customFormat="1" ht="192.75" thickBot="1" x14ac:dyDescent="0.3">
      <c r="A10" s="781"/>
      <c r="B10" s="784"/>
      <c r="C10" s="202"/>
      <c r="D10" s="787"/>
      <c r="E10" s="787"/>
      <c r="F10" s="206" t="s">
        <v>25</v>
      </c>
      <c r="G10" s="206" t="s">
        <v>16</v>
      </c>
      <c r="H10" s="206" t="s">
        <v>184</v>
      </c>
      <c r="I10" s="207" t="s">
        <v>26</v>
      </c>
      <c r="J10" s="508" t="s">
        <v>278</v>
      </c>
      <c r="K10" s="506" t="s">
        <v>27</v>
      </c>
      <c r="L10" s="678" t="s">
        <v>140</v>
      </c>
      <c r="M10" s="235" t="s">
        <v>28</v>
      </c>
      <c r="N10" s="206" t="s">
        <v>25</v>
      </c>
      <c r="O10" s="206" t="s">
        <v>19</v>
      </c>
      <c r="P10" s="206" t="s">
        <v>20</v>
      </c>
      <c r="Q10" s="232">
        <v>44742</v>
      </c>
      <c r="R10" s="179" t="s">
        <v>23</v>
      </c>
      <c r="S10" s="179" t="s">
        <v>23</v>
      </c>
      <c r="T10" s="179" t="s">
        <v>23</v>
      </c>
      <c r="U10" s="179" t="s">
        <v>103</v>
      </c>
      <c r="V10" s="841">
        <f>200000+100000</f>
        <v>300000</v>
      </c>
      <c r="W10" s="841">
        <f>628100+771012</f>
        <v>1399112</v>
      </c>
      <c r="X10" s="809" t="s">
        <v>236</v>
      </c>
      <c r="Y10" s="209" t="s">
        <v>117</v>
      </c>
      <c r="Z10" s="842" t="s">
        <v>574</v>
      </c>
      <c r="AA10" s="843"/>
      <c r="AB10" s="844"/>
      <c r="AC10" s="842" t="str">
        <f>Z10</f>
        <v xml:space="preserve">n/a - no movement required for quarter </v>
      </c>
      <c r="AD10" s="843"/>
      <c r="AE10" s="844"/>
      <c r="AF10" s="842" t="str">
        <f>AC10</f>
        <v xml:space="preserve">n/a - no movement required for quarter </v>
      </c>
      <c r="AG10" s="843"/>
      <c r="AH10" s="844"/>
      <c r="AI10" s="578" t="s">
        <v>471</v>
      </c>
      <c r="AJ10" s="579" t="s">
        <v>956</v>
      </c>
      <c r="AK10" s="641">
        <v>0.82</v>
      </c>
      <c r="AL10" s="578" t="s">
        <v>471</v>
      </c>
      <c r="AM10" s="555">
        <v>0.82</v>
      </c>
      <c r="AN10" s="579" t="s">
        <v>595</v>
      </c>
      <c r="AO10" s="579" t="s">
        <v>970</v>
      </c>
      <c r="AP10" s="539" t="s">
        <v>16</v>
      </c>
      <c r="AQ10" s="580">
        <v>44926</v>
      </c>
      <c r="AR10" s="822">
        <f>628066+768881</f>
        <v>1396947</v>
      </c>
      <c r="AS10" s="825">
        <f>AR10/W10</f>
        <v>0.99845258992846897</v>
      </c>
      <c r="AT10" s="526" t="s">
        <v>596</v>
      </c>
      <c r="AU10" s="196" t="s">
        <v>654</v>
      </c>
      <c r="AV10" s="196" t="s">
        <v>654</v>
      </c>
      <c r="AW10" s="196" t="s">
        <v>654</v>
      </c>
      <c r="AX10" s="430" t="s">
        <v>654</v>
      </c>
      <c r="AY10" s="607" t="s">
        <v>471</v>
      </c>
      <c r="AZ10" s="193" t="s">
        <v>955</v>
      </c>
      <c r="BA10" s="193" t="s">
        <v>738</v>
      </c>
      <c r="BB10" s="193" t="s">
        <v>738</v>
      </c>
      <c r="BC10" s="607" t="s">
        <v>471</v>
      </c>
      <c r="BD10" s="193" t="s">
        <v>955</v>
      </c>
      <c r="BE10" s="193" t="s">
        <v>878</v>
      </c>
      <c r="BF10" s="193" t="s">
        <v>738</v>
      </c>
      <c r="BG10" s="612"/>
    </row>
    <row r="11" spans="1:59" s="23" customFormat="1" ht="132.75" thickBot="1" x14ac:dyDescent="0.3">
      <c r="A11" s="781"/>
      <c r="B11" s="784"/>
      <c r="C11" s="202"/>
      <c r="D11" s="787"/>
      <c r="E11" s="787"/>
      <c r="F11" s="206" t="s">
        <v>33</v>
      </c>
      <c r="G11" s="206" t="s">
        <v>16</v>
      </c>
      <c r="H11" s="206" t="s">
        <v>49</v>
      </c>
      <c r="I11" s="207" t="s">
        <v>34</v>
      </c>
      <c r="J11" s="508" t="s">
        <v>279</v>
      </c>
      <c r="K11" s="506">
        <v>0</v>
      </c>
      <c r="L11" s="678" t="s">
        <v>174</v>
      </c>
      <c r="M11" s="235" t="s">
        <v>35</v>
      </c>
      <c r="N11" s="206" t="s">
        <v>33</v>
      </c>
      <c r="O11" s="206" t="s">
        <v>19</v>
      </c>
      <c r="P11" s="206" t="s">
        <v>20</v>
      </c>
      <c r="Q11" s="232">
        <v>44742</v>
      </c>
      <c r="R11" s="179" t="s">
        <v>23</v>
      </c>
      <c r="S11" s="179" t="s">
        <v>23</v>
      </c>
      <c r="T11" s="179" t="s">
        <v>23</v>
      </c>
      <c r="U11" s="179" t="s">
        <v>115</v>
      </c>
      <c r="V11" s="841"/>
      <c r="W11" s="841"/>
      <c r="X11" s="809"/>
      <c r="Y11" s="27" t="s">
        <v>116</v>
      </c>
      <c r="Z11" s="842" t="s">
        <v>574</v>
      </c>
      <c r="AA11" s="843"/>
      <c r="AB11" s="844"/>
      <c r="AC11" s="842" t="str">
        <f>Z11</f>
        <v xml:space="preserve">n/a - no movement required for quarter </v>
      </c>
      <c r="AD11" s="843"/>
      <c r="AE11" s="844"/>
      <c r="AF11" s="842" t="str">
        <f>AC11</f>
        <v xml:space="preserve">n/a - no movement required for quarter </v>
      </c>
      <c r="AG11" s="843"/>
      <c r="AH11" s="844"/>
      <c r="AI11" s="578" t="s">
        <v>471</v>
      </c>
      <c r="AJ11" s="579" t="s">
        <v>954</v>
      </c>
      <c r="AK11" s="641">
        <v>0.81879999999999997</v>
      </c>
      <c r="AL11" s="578" t="s">
        <v>471</v>
      </c>
      <c r="AM11" s="555">
        <v>0.81879999999999997</v>
      </c>
      <c r="AN11" s="61" t="s">
        <v>971</v>
      </c>
      <c r="AO11" s="61" t="s">
        <v>972</v>
      </c>
      <c r="AP11" s="540" t="s">
        <v>204</v>
      </c>
      <c r="AQ11" s="91">
        <v>44803</v>
      </c>
      <c r="AR11" s="824"/>
      <c r="AS11" s="827"/>
      <c r="AT11" s="525" t="s">
        <v>597</v>
      </c>
      <c r="AU11" s="196" t="s">
        <v>654</v>
      </c>
      <c r="AV11" s="196" t="s">
        <v>654</v>
      </c>
      <c r="AW11" s="196" t="s">
        <v>654</v>
      </c>
      <c r="AX11" s="430" t="s">
        <v>654</v>
      </c>
      <c r="AY11" s="607" t="s">
        <v>471</v>
      </c>
      <c r="AZ11" s="193" t="s">
        <v>953</v>
      </c>
      <c r="BA11" s="193" t="s">
        <v>738</v>
      </c>
      <c r="BB11" s="193" t="s">
        <v>738</v>
      </c>
      <c r="BC11" s="607" t="s">
        <v>471</v>
      </c>
      <c r="BD11" s="193" t="s">
        <v>953</v>
      </c>
      <c r="BE11" s="193" t="s">
        <v>878</v>
      </c>
      <c r="BF11" s="193" t="s">
        <v>738</v>
      </c>
      <c r="BG11" s="612"/>
    </row>
    <row r="12" spans="1:59" s="23" customFormat="1" ht="156.75" thickBot="1" x14ac:dyDescent="0.3">
      <c r="A12" s="781"/>
      <c r="B12" s="784"/>
      <c r="C12" s="202"/>
      <c r="D12" s="787"/>
      <c r="E12" s="788"/>
      <c r="F12" s="206" t="s">
        <v>177</v>
      </c>
      <c r="G12" s="206" t="s">
        <v>16</v>
      </c>
      <c r="H12" s="206" t="s">
        <v>49</v>
      </c>
      <c r="I12" s="207" t="s">
        <v>178</v>
      </c>
      <c r="J12" s="508" t="s">
        <v>280</v>
      </c>
      <c r="K12" s="506">
        <v>0</v>
      </c>
      <c r="L12" s="678" t="s">
        <v>175</v>
      </c>
      <c r="M12" s="235" t="s">
        <v>176</v>
      </c>
      <c r="N12" s="206" t="str">
        <f>F12</f>
        <v>Number of ethics reporting documents developed</v>
      </c>
      <c r="O12" s="206" t="s">
        <v>19</v>
      </c>
      <c r="P12" s="206" t="s">
        <v>20</v>
      </c>
      <c r="Q12" s="232">
        <v>44742</v>
      </c>
      <c r="R12" s="179" t="s">
        <v>23</v>
      </c>
      <c r="S12" s="179" t="s">
        <v>23</v>
      </c>
      <c r="T12" s="179" t="s">
        <v>23</v>
      </c>
      <c r="U12" s="179" t="str">
        <f>M12</f>
        <v>1 ethics reporting framework developed</v>
      </c>
      <c r="V12" s="32">
        <v>0</v>
      </c>
      <c r="W12" s="32">
        <v>0</v>
      </c>
      <c r="X12" s="25" t="s">
        <v>122</v>
      </c>
      <c r="Y12" s="27" t="s">
        <v>179</v>
      </c>
      <c r="Z12" s="842" t="s">
        <v>574</v>
      </c>
      <c r="AA12" s="843"/>
      <c r="AB12" s="844"/>
      <c r="AC12" s="842" t="str">
        <f>Z12</f>
        <v xml:space="preserve">n/a - no movement required for quarter </v>
      </c>
      <c r="AD12" s="843"/>
      <c r="AE12" s="844"/>
      <c r="AF12" s="842" t="str">
        <f>AC12</f>
        <v xml:space="preserve">n/a - no movement required for quarter </v>
      </c>
      <c r="AG12" s="843"/>
      <c r="AH12" s="844"/>
      <c r="AI12" s="581" t="s">
        <v>457</v>
      </c>
      <c r="AJ12" s="61" t="s">
        <v>599</v>
      </c>
      <c r="AK12" s="642">
        <v>1</v>
      </c>
      <c r="AL12" s="581" t="s">
        <v>457</v>
      </c>
      <c r="AM12" s="62">
        <v>1</v>
      </c>
      <c r="AN12" s="540" t="s">
        <v>23</v>
      </c>
      <c r="AO12" s="540" t="s">
        <v>23</v>
      </c>
      <c r="AP12" s="540" t="s">
        <v>23</v>
      </c>
      <c r="AQ12" s="540" t="s">
        <v>23</v>
      </c>
      <c r="AR12" s="201">
        <v>0</v>
      </c>
      <c r="AS12" s="555">
        <v>0</v>
      </c>
      <c r="AT12" s="525" t="s">
        <v>598</v>
      </c>
      <c r="AU12" s="196" t="s">
        <v>654</v>
      </c>
      <c r="AV12" s="196" t="s">
        <v>654</v>
      </c>
      <c r="AW12" s="608" t="s">
        <v>654</v>
      </c>
      <c r="AX12" s="430" t="s">
        <v>654</v>
      </c>
      <c r="AY12" s="126" t="s">
        <v>457</v>
      </c>
      <c r="AZ12" s="193" t="s">
        <v>952</v>
      </c>
      <c r="BA12" s="193" t="s">
        <v>951</v>
      </c>
      <c r="BB12" s="453" t="s">
        <v>950</v>
      </c>
      <c r="BC12" s="126" t="s">
        <v>457</v>
      </c>
      <c r="BD12" s="193" t="s">
        <v>952</v>
      </c>
      <c r="BE12" s="193" t="s">
        <v>951</v>
      </c>
      <c r="BF12" s="454" t="s">
        <v>950</v>
      </c>
      <c r="BG12" s="612"/>
    </row>
    <row r="13" spans="1:59" s="23" customFormat="1" ht="97.5" customHeight="1" x14ac:dyDescent="0.25">
      <c r="A13" s="781"/>
      <c r="B13" s="784"/>
      <c r="C13" s="202"/>
      <c r="D13" s="787"/>
      <c r="E13" s="837" t="s">
        <v>150</v>
      </c>
      <c r="F13" s="810" t="s">
        <v>127</v>
      </c>
      <c r="G13" s="809" t="s">
        <v>16</v>
      </c>
      <c r="H13" s="810" t="s">
        <v>185</v>
      </c>
      <c r="I13" s="810" t="s">
        <v>120</v>
      </c>
      <c r="J13" s="509" t="s">
        <v>281</v>
      </c>
      <c r="K13" s="25">
        <v>4</v>
      </c>
      <c r="L13" s="685" t="s">
        <v>141</v>
      </c>
      <c r="M13" s="686" t="s">
        <v>125</v>
      </c>
      <c r="N13" s="810" t="s">
        <v>123</v>
      </c>
      <c r="O13" s="25" t="s">
        <v>29</v>
      </c>
      <c r="P13" s="25" t="s">
        <v>30</v>
      </c>
      <c r="Q13" s="494">
        <v>44469</v>
      </c>
      <c r="R13" s="656" t="s">
        <v>124</v>
      </c>
      <c r="S13" s="656" t="s">
        <v>121</v>
      </c>
      <c r="T13" s="656" t="s">
        <v>121</v>
      </c>
      <c r="U13" s="656" t="s">
        <v>242</v>
      </c>
      <c r="V13" s="32">
        <v>0</v>
      </c>
      <c r="W13" s="32">
        <v>0</v>
      </c>
      <c r="X13" s="25" t="s">
        <v>122</v>
      </c>
      <c r="Y13" s="28" t="s">
        <v>128</v>
      </c>
      <c r="Z13" s="610" t="s">
        <v>457</v>
      </c>
      <c r="AA13" s="61" t="s">
        <v>973</v>
      </c>
      <c r="AB13" s="544">
        <v>1</v>
      </c>
      <c r="AC13" s="581" t="s">
        <v>457</v>
      </c>
      <c r="AD13" s="61" t="s">
        <v>949</v>
      </c>
      <c r="AE13" s="544">
        <v>1</v>
      </c>
      <c r="AF13" s="585" t="s">
        <v>330</v>
      </c>
      <c r="AG13" s="61" t="s">
        <v>601</v>
      </c>
      <c r="AH13" s="544">
        <v>0</v>
      </c>
      <c r="AI13" s="581" t="s">
        <v>457</v>
      </c>
      <c r="AJ13" s="61" t="s">
        <v>948</v>
      </c>
      <c r="AK13" s="642">
        <v>1</v>
      </c>
      <c r="AL13" s="611" t="s">
        <v>471</v>
      </c>
      <c r="AM13" s="62">
        <v>0.75</v>
      </c>
      <c r="AN13" s="61" t="s">
        <v>602</v>
      </c>
      <c r="AO13" s="61" t="s">
        <v>603</v>
      </c>
      <c r="AP13" s="61" t="s">
        <v>604</v>
      </c>
      <c r="AQ13" s="91">
        <v>44742</v>
      </c>
      <c r="AR13" s="868">
        <v>0</v>
      </c>
      <c r="AS13" s="870">
        <v>0</v>
      </c>
      <c r="AT13" s="828" t="s">
        <v>608</v>
      </c>
      <c r="AU13" s="196" t="s">
        <v>654</v>
      </c>
      <c r="AV13" s="196" t="s">
        <v>654</v>
      </c>
      <c r="AW13" s="196" t="s">
        <v>654</v>
      </c>
      <c r="AX13" s="430" t="s">
        <v>654</v>
      </c>
      <c r="AY13" s="126" t="s">
        <v>457</v>
      </c>
      <c r="AZ13" s="193" t="s">
        <v>947</v>
      </c>
      <c r="BA13" s="193" t="s">
        <v>946</v>
      </c>
      <c r="BB13" s="453" t="s">
        <v>945</v>
      </c>
      <c r="BC13" s="607" t="s">
        <v>471</v>
      </c>
      <c r="BD13" s="193" t="s">
        <v>944</v>
      </c>
      <c r="BE13" s="193" t="s">
        <v>974</v>
      </c>
      <c r="BF13" s="193" t="s">
        <v>738</v>
      </c>
      <c r="BG13" s="612" t="s">
        <v>975</v>
      </c>
    </row>
    <row r="14" spans="1:59" s="23" customFormat="1" ht="120.75" customHeight="1" x14ac:dyDescent="0.25">
      <c r="A14" s="781"/>
      <c r="B14" s="784"/>
      <c r="C14" s="202"/>
      <c r="D14" s="787"/>
      <c r="E14" s="837"/>
      <c r="F14" s="812"/>
      <c r="G14" s="809"/>
      <c r="H14" s="812"/>
      <c r="I14" s="812"/>
      <c r="J14" s="509" t="s">
        <v>281</v>
      </c>
      <c r="K14" s="205">
        <v>3</v>
      </c>
      <c r="L14" s="683" t="s">
        <v>142</v>
      </c>
      <c r="M14" s="684" t="s">
        <v>131</v>
      </c>
      <c r="N14" s="812"/>
      <c r="O14" s="205" t="s">
        <v>29</v>
      </c>
      <c r="P14" s="205" t="s">
        <v>30</v>
      </c>
      <c r="Q14" s="491">
        <v>44742</v>
      </c>
      <c r="R14" s="657" t="s">
        <v>36</v>
      </c>
      <c r="S14" s="657" t="s">
        <v>23</v>
      </c>
      <c r="T14" s="657" t="s">
        <v>243</v>
      </c>
      <c r="U14" s="657" t="s">
        <v>283</v>
      </c>
      <c r="V14" s="228">
        <v>0</v>
      </c>
      <c r="W14" s="228">
        <v>0</v>
      </c>
      <c r="X14" s="205" t="s">
        <v>122</v>
      </c>
      <c r="Y14" s="210" t="s">
        <v>146</v>
      </c>
      <c r="Z14" s="585" t="s">
        <v>330</v>
      </c>
      <c r="AA14" s="61" t="s">
        <v>600</v>
      </c>
      <c r="AB14" s="544">
        <v>1</v>
      </c>
      <c r="AC14" s="842" t="s">
        <v>574</v>
      </c>
      <c r="AD14" s="843"/>
      <c r="AE14" s="844"/>
      <c r="AF14" s="576" t="s">
        <v>457</v>
      </c>
      <c r="AG14" s="579" t="s">
        <v>605</v>
      </c>
      <c r="AH14" s="543">
        <v>1</v>
      </c>
      <c r="AI14" s="576" t="s">
        <v>457</v>
      </c>
      <c r="AJ14" s="579" t="s">
        <v>606</v>
      </c>
      <c r="AK14" s="643">
        <v>1</v>
      </c>
      <c r="AL14" s="577" t="s">
        <v>607</v>
      </c>
      <c r="AM14" s="555">
        <v>1</v>
      </c>
      <c r="AN14" s="539" t="s">
        <v>23</v>
      </c>
      <c r="AO14" s="540" t="s">
        <v>23</v>
      </c>
      <c r="AP14" s="540" t="s">
        <v>23</v>
      </c>
      <c r="AQ14" s="540" t="s">
        <v>23</v>
      </c>
      <c r="AR14" s="869"/>
      <c r="AS14" s="871"/>
      <c r="AT14" s="830"/>
      <c r="AU14" s="196" t="s">
        <v>654</v>
      </c>
      <c r="AV14" s="196" t="s">
        <v>654</v>
      </c>
      <c r="AW14" s="196" t="s">
        <v>654</v>
      </c>
      <c r="AX14" s="430" t="s">
        <v>654</v>
      </c>
      <c r="AY14" s="126" t="s">
        <v>457</v>
      </c>
      <c r="AZ14" s="193" t="s">
        <v>943</v>
      </c>
      <c r="BA14" s="193" t="s">
        <v>942</v>
      </c>
      <c r="BB14" s="453" t="s">
        <v>941</v>
      </c>
      <c r="BC14" s="126" t="s">
        <v>457</v>
      </c>
      <c r="BD14" s="193" t="s">
        <v>940</v>
      </c>
      <c r="BE14" s="193" t="s">
        <v>878</v>
      </c>
      <c r="BF14" s="193" t="s">
        <v>738</v>
      </c>
      <c r="BG14" s="612"/>
    </row>
    <row r="15" spans="1:59" s="23" customFormat="1" ht="123.75" customHeight="1" x14ac:dyDescent="0.25">
      <c r="A15" s="781"/>
      <c r="B15" s="784"/>
      <c r="C15" s="202"/>
      <c r="D15" s="787"/>
      <c r="E15" s="837"/>
      <c r="F15" s="810" t="s">
        <v>118</v>
      </c>
      <c r="G15" s="809"/>
      <c r="H15" s="488" t="s">
        <v>238</v>
      </c>
      <c r="I15" s="810" t="s">
        <v>118</v>
      </c>
      <c r="J15" s="510" t="s">
        <v>282</v>
      </c>
      <c r="K15" s="222" t="s">
        <v>27</v>
      </c>
      <c r="L15" s="679" t="s">
        <v>143</v>
      </c>
      <c r="M15" s="802" t="s">
        <v>126</v>
      </c>
      <c r="N15" s="810" t="s">
        <v>118</v>
      </c>
      <c r="O15" s="204" t="s">
        <v>29</v>
      </c>
      <c r="P15" s="204" t="s">
        <v>30</v>
      </c>
      <c r="Q15" s="490">
        <v>44742</v>
      </c>
      <c r="R15" s="658" t="s">
        <v>23</v>
      </c>
      <c r="S15" s="658" t="s">
        <v>23</v>
      </c>
      <c r="T15" s="658" t="s">
        <v>23</v>
      </c>
      <c r="U15" s="658" t="s">
        <v>130</v>
      </c>
      <c r="V15" s="227">
        <v>0</v>
      </c>
      <c r="W15" s="227">
        <v>0</v>
      </c>
      <c r="X15" s="204" t="s">
        <v>122</v>
      </c>
      <c r="Y15" s="209" t="s">
        <v>147</v>
      </c>
      <c r="Z15" s="532" t="s">
        <v>574</v>
      </c>
      <c r="AA15" s="538"/>
      <c r="AB15" s="542"/>
      <c r="AC15" s="532" t="s">
        <v>574</v>
      </c>
      <c r="AD15" s="538"/>
      <c r="AE15" s="533"/>
      <c r="AF15" s="532" t="s">
        <v>574</v>
      </c>
      <c r="AG15" s="538"/>
      <c r="AH15" s="533"/>
      <c r="AI15" s="584" t="s">
        <v>330</v>
      </c>
      <c r="AJ15" s="582" t="s">
        <v>613</v>
      </c>
      <c r="AK15" s="644">
        <v>0</v>
      </c>
      <c r="AL15" s="583" t="s">
        <v>330</v>
      </c>
      <c r="AM15" s="587">
        <v>0</v>
      </c>
      <c r="AN15" s="546" t="s">
        <v>614</v>
      </c>
      <c r="AO15" s="546" t="str">
        <f>AO13</f>
        <v xml:space="preserve">Ensure risk register developed before start of new financial year via a risk workshop with clear risk action plan </v>
      </c>
      <c r="AP15" s="537" t="s">
        <v>16</v>
      </c>
      <c r="AQ15" s="591">
        <v>45107</v>
      </c>
      <c r="AR15" s="189">
        <v>0</v>
      </c>
      <c r="AS15" s="559">
        <v>0</v>
      </c>
      <c r="AT15" s="533" t="s">
        <v>23</v>
      </c>
      <c r="AU15" s="196" t="s">
        <v>654</v>
      </c>
      <c r="AV15" s="196" t="s">
        <v>654</v>
      </c>
      <c r="AW15" s="196" t="s">
        <v>654</v>
      </c>
      <c r="AX15" s="430" t="s">
        <v>654</v>
      </c>
      <c r="AY15" s="190" t="s">
        <v>330</v>
      </c>
      <c r="AZ15" s="193" t="s">
        <v>938</v>
      </c>
      <c r="BA15" s="193" t="s">
        <v>939</v>
      </c>
      <c r="BB15" s="193" t="s">
        <v>738</v>
      </c>
      <c r="BC15" s="190" t="s">
        <v>330</v>
      </c>
      <c r="BD15" s="193" t="s">
        <v>976</v>
      </c>
      <c r="BE15" s="193" t="s">
        <v>878</v>
      </c>
      <c r="BF15" s="193" t="s">
        <v>738</v>
      </c>
      <c r="BG15" s="612" t="s">
        <v>977</v>
      </c>
    </row>
    <row r="16" spans="1:59" s="23" customFormat="1" ht="102.75" customHeight="1" x14ac:dyDescent="0.25">
      <c r="A16" s="781"/>
      <c r="B16" s="784"/>
      <c r="C16" s="202"/>
      <c r="D16" s="787"/>
      <c r="E16" s="837"/>
      <c r="F16" s="811"/>
      <c r="G16" s="809"/>
      <c r="H16" s="496" t="s">
        <v>49</v>
      </c>
      <c r="I16" s="811"/>
      <c r="J16" s="512" t="s">
        <v>282</v>
      </c>
      <c r="K16" s="495" t="s">
        <v>27</v>
      </c>
      <c r="L16" s="680" t="s">
        <v>144</v>
      </c>
      <c r="M16" s="803"/>
      <c r="N16" s="811"/>
      <c r="O16" s="496" t="s">
        <v>20</v>
      </c>
      <c r="P16" s="496" t="s">
        <v>19</v>
      </c>
      <c r="Q16" s="492">
        <v>44742</v>
      </c>
      <c r="R16" s="660" t="s">
        <v>23</v>
      </c>
      <c r="S16" s="660" t="s">
        <v>23</v>
      </c>
      <c r="T16" s="660" t="s">
        <v>23</v>
      </c>
      <c r="U16" s="660" t="s">
        <v>132</v>
      </c>
      <c r="V16" s="502">
        <v>0</v>
      </c>
      <c r="W16" s="502">
        <v>0</v>
      </c>
      <c r="X16" s="496" t="s">
        <v>122</v>
      </c>
      <c r="Y16" s="500" t="s">
        <v>148</v>
      </c>
      <c r="Z16" s="838" t="s">
        <v>574</v>
      </c>
      <c r="AA16" s="839"/>
      <c r="AB16" s="840"/>
      <c r="AC16" s="838" t="s">
        <v>574</v>
      </c>
      <c r="AD16" s="839"/>
      <c r="AE16" s="840"/>
      <c r="AF16" s="838" t="s">
        <v>574</v>
      </c>
      <c r="AG16" s="839"/>
      <c r="AH16" s="840"/>
      <c r="AI16" s="588" t="s">
        <v>471</v>
      </c>
      <c r="AJ16" s="557" t="s">
        <v>609</v>
      </c>
      <c r="AK16" s="645" t="s">
        <v>503</v>
      </c>
      <c r="AL16" s="588" t="s">
        <v>471</v>
      </c>
      <c r="AM16" s="559">
        <v>0.89</v>
      </c>
      <c r="AN16" s="557" t="s">
        <v>610</v>
      </c>
      <c r="AO16" s="557" t="s">
        <v>611</v>
      </c>
      <c r="AP16" s="557" t="s">
        <v>49</v>
      </c>
      <c r="AQ16" s="592">
        <v>44803</v>
      </c>
      <c r="AR16" s="189">
        <v>0</v>
      </c>
      <c r="AS16" s="559">
        <v>0</v>
      </c>
      <c r="AT16" s="570" t="s">
        <v>612</v>
      </c>
      <c r="AU16" s="196" t="s">
        <v>654</v>
      </c>
      <c r="AV16" s="196" t="s">
        <v>654</v>
      </c>
      <c r="AW16" s="196" t="s">
        <v>654</v>
      </c>
      <c r="AX16" s="430" t="s">
        <v>654</v>
      </c>
      <c r="AY16" s="607" t="s">
        <v>471</v>
      </c>
      <c r="AZ16" s="193" t="s">
        <v>937</v>
      </c>
      <c r="BA16" s="193" t="s">
        <v>738</v>
      </c>
      <c r="BB16" s="193" t="s">
        <v>738</v>
      </c>
      <c r="BC16" s="607" t="s">
        <v>471</v>
      </c>
      <c r="BD16" s="193" t="s">
        <v>937</v>
      </c>
      <c r="BE16" s="193" t="s">
        <v>878</v>
      </c>
      <c r="BF16" s="193" t="s">
        <v>738</v>
      </c>
      <c r="BG16" s="612"/>
    </row>
    <row r="17" spans="1:59" s="23" customFormat="1" ht="144.75" thickBot="1" x14ac:dyDescent="0.3">
      <c r="A17" s="781"/>
      <c r="B17" s="784"/>
      <c r="C17" s="202"/>
      <c r="D17" s="787"/>
      <c r="E17" s="837"/>
      <c r="F17" s="812"/>
      <c r="G17" s="809"/>
      <c r="H17" s="205" t="s">
        <v>239</v>
      </c>
      <c r="I17" s="812"/>
      <c r="J17" s="511" t="s">
        <v>282</v>
      </c>
      <c r="K17" s="223" t="s">
        <v>27</v>
      </c>
      <c r="L17" s="683" t="s">
        <v>145</v>
      </c>
      <c r="M17" s="845"/>
      <c r="N17" s="812"/>
      <c r="O17" s="205" t="s">
        <v>29</v>
      </c>
      <c r="P17" s="205" t="s">
        <v>30</v>
      </c>
      <c r="Q17" s="491">
        <v>44742</v>
      </c>
      <c r="R17" s="657" t="s">
        <v>23</v>
      </c>
      <c r="S17" s="657" t="s">
        <v>23</v>
      </c>
      <c r="T17" s="657" t="s">
        <v>23</v>
      </c>
      <c r="U17" s="657" t="s">
        <v>37</v>
      </c>
      <c r="V17" s="228">
        <v>450000</v>
      </c>
      <c r="W17" s="228">
        <v>840000</v>
      </c>
      <c r="X17" s="205" t="s">
        <v>129</v>
      </c>
      <c r="Y17" s="210" t="s">
        <v>149</v>
      </c>
      <c r="Z17" s="846" t="s">
        <v>574</v>
      </c>
      <c r="AA17" s="847"/>
      <c r="AB17" s="848"/>
      <c r="AC17" s="534" t="s">
        <v>574</v>
      </c>
      <c r="AD17" s="539"/>
      <c r="AE17" s="536"/>
      <c r="AF17" s="534" t="s">
        <v>574</v>
      </c>
      <c r="AG17" s="539"/>
      <c r="AH17" s="536"/>
      <c r="AI17" s="614" t="s">
        <v>330</v>
      </c>
      <c r="AJ17" s="579" t="s">
        <v>617</v>
      </c>
      <c r="AK17" s="643">
        <f>9/15</f>
        <v>0.6</v>
      </c>
      <c r="AL17" s="614" t="s">
        <v>330</v>
      </c>
      <c r="AM17" s="555">
        <v>0.6</v>
      </c>
      <c r="AN17" s="579" t="s">
        <v>615</v>
      </c>
      <c r="AO17" s="579" t="s">
        <v>616</v>
      </c>
      <c r="AP17" s="579" t="s">
        <v>583</v>
      </c>
      <c r="AQ17" s="580">
        <v>44926</v>
      </c>
      <c r="AR17" s="201">
        <v>839141.2</v>
      </c>
      <c r="AS17" s="555">
        <f>AR17/W17</f>
        <v>0.99897761904761895</v>
      </c>
      <c r="AT17" s="526" t="s">
        <v>618</v>
      </c>
      <c r="AU17" s="196" t="s">
        <v>654</v>
      </c>
      <c r="AV17" s="196" t="s">
        <v>654</v>
      </c>
      <c r="AW17" s="196" t="s">
        <v>654</v>
      </c>
      <c r="AX17" s="430" t="s">
        <v>654</v>
      </c>
      <c r="AY17" s="607" t="s">
        <v>471</v>
      </c>
      <c r="AZ17" s="193" t="s">
        <v>935</v>
      </c>
      <c r="BA17" s="193" t="s">
        <v>936</v>
      </c>
      <c r="BB17" s="193" t="s">
        <v>738</v>
      </c>
      <c r="BC17" s="190" t="s">
        <v>330</v>
      </c>
      <c r="BD17" s="193" t="s">
        <v>935</v>
      </c>
      <c r="BE17" s="193" t="s">
        <v>878</v>
      </c>
      <c r="BF17" s="193" t="s">
        <v>738</v>
      </c>
      <c r="BG17" s="612" t="s">
        <v>978</v>
      </c>
    </row>
    <row r="18" spans="1:59" s="23" customFormat="1" ht="119.25" customHeight="1" thickBot="1" x14ac:dyDescent="0.3">
      <c r="A18" s="781"/>
      <c r="B18" s="784"/>
      <c r="C18" s="202"/>
      <c r="D18" s="787"/>
      <c r="E18" s="837" t="s">
        <v>151</v>
      </c>
      <c r="F18" s="206" t="s">
        <v>38</v>
      </c>
      <c r="G18" s="206" t="s">
        <v>16</v>
      </c>
      <c r="H18" s="206" t="s">
        <v>185</v>
      </c>
      <c r="I18" s="206" t="s">
        <v>39</v>
      </c>
      <c r="J18" s="508" t="s">
        <v>278</v>
      </c>
      <c r="K18" s="206">
        <v>0</v>
      </c>
      <c r="L18" s="678" t="s">
        <v>152</v>
      </c>
      <c r="M18" s="235" t="s">
        <v>41</v>
      </c>
      <c r="N18" s="206" t="s">
        <v>38</v>
      </c>
      <c r="O18" s="206" t="s">
        <v>19</v>
      </c>
      <c r="P18" s="206" t="s">
        <v>20</v>
      </c>
      <c r="Q18" s="232">
        <v>44742</v>
      </c>
      <c r="R18" s="657" t="s">
        <v>23</v>
      </c>
      <c r="S18" s="657" t="s">
        <v>23</v>
      </c>
      <c r="T18" s="179" t="s">
        <v>23</v>
      </c>
      <c r="U18" s="179" t="s">
        <v>244</v>
      </c>
      <c r="V18" s="203">
        <v>0</v>
      </c>
      <c r="W18" s="203">
        <v>0</v>
      </c>
      <c r="X18" s="206" t="s">
        <v>153</v>
      </c>
      <c r="Y18" s="27" t="s">
        <v>154</v>
      </c>
      <c r="Z18" s="846" t="s">
        <v>574</v>
      </c>
      <c r="AA18" s="847"/>
      <c r="AB18" s="848"/>
      <c r="AC18" s="534" t="s">
        <v>574</v>
      </c>
      <c r="AD18" s="539"/>
      <c r="AE18" s="536"/>
      <c r="AF18" s="534" t="s">
        <v>574</v>
      </c>
      <c r="AG18" s="539"/>
      <c r="AH18" s="536"/>
      <c r="AI18" s="581" t="s">
        <v>457</v>
      </c>
      <c r="AJ18" s="61" t="s">
        <v>619</v>
      </c>
      <c r="AK18" s="642">
        <v>1</v>
      </c>
      <c r="AL18" s="581" t="s">
        <v>457</v>
      </c>
      <c r="AM18" s="62">
        <v>1</v>
      </c>
      <c r="AN18" s="540" t="s">
        <v>23</v>
      </c>
      <c r="AO18" s="540" t="s">
        <v>23</v>
      </c>
      <c r="AP18" s="540" t="s">
        <v>23</v>
      </c>
      <c r="AQ18" s="540" t="s">
        <v>23</v>
      </c>
      <c r="AR18" s="92">
        <v>0</v>
      </c>
      <c r="AS18" s="62">
        <v>0</v>
      </c>
      <c r="AT18" s="525" t="s">
        <v>620</v>
      </c>
      <c r="AU18" s="196" t="s">
        <v>654</v>
      </c>
      <c r="AV18" s="196" t="s">
        <v>654</v>
      </c>
      <c r="AW18" s="608" t="s">
        <v>654</v>
      </c>
      <c r="AX18" s="430" t="s">
        <v>654</v>
      </c>
      <c r="AY18" s="126" t="s">
        <v>457</v>
      </c>
      <c r="AZ18" s="61" t="s">
        <v>934</v>
      </c>
      <c r="BA18" s="193" t="s">
        <v>932</v>
      </c>
      <c r="BB18" s="453" t="s">
        <v>931</v>
      </c>
      <c r="BC18" s="126" t="s">
        <v>457</v>
      </c>
      <c r="BD18" s="61" t="s">
        <v>933</v>
      </c>
      <c r="BE18" s="193" t="s">
        <v>932</v>
      </c>
      <c r="BF18" s="454" t="s">
        <v>931</v>
      </c>
      <c r="BG18" s="612"/>
    </row>
    <row r="19" spans="1:59" s="23" customFormat="1" ht="129" customHeight="1" thickBot="1" x14ac:dyDescent="0.3">
      <c r="A19" s="781"/>
      <c r="B19" s="784"/>
      <c r="C19" s="202"/>
      <c r="D19" s="787"/>
      <c r="E19" s="837"/>
      <c r="F19" s="206" t="s">
        <v>42</v>
      </c>
      <c r="G19" s="206" t="s">
        <v>16</v>
      </c>
      <c r="H19" s="206" t="s">
        <v>185</v>
      </c>
      <c r="I19" s="206" t="s">
        <v>43</v>
      </c>
      <c r="J19" s="508" t="s">
        <v>284</v>
      </c>
      <c r="K19" s="204">
        <v>1</v>
      </c>
      <c r="L19" s="679" t="s">
        <v>155</v>
      </c>
      <c r="M19" s="235" t="s">
        <v>157</v>
      </c>
      <c r="N19" s="206" t="s">
        <v>156</v>
      </c>
      <c r="O19" s="206" t="s">
        <v>19</v>
      </c>
      <c r="P19" s="206" t="s">
        <v>20</v>
      </c>
      <c r="Q19" s="232">
        <v>44742</v>
      </c>
      <c r="R19" s="179" t="s">
        <v>44</v>
      </c>
      <c r="S19" s="179" t="s">
        <v>23</v>
      </c>
      <c r="T19" s="179" t="s">
        <v>158</v>
      </c>
      <c r="U19" s="179" t="s">
        <v>159</v>
      </c>
      <c r="V19" s="203">
        <v>0</v>
      </c>
      <c r="W19" s="203">
        <v>0</v>
      </c>
      <c r="X19" s="206" t="s">
        <v>122</v>
      </c>
      <c r="Y19" s="207" t="s">
        <v>160</v>
      </c>
      <c r="Z19" s="171" t="s">
        <v>330</v>
      </c>
      <c r="AA19" s="137" t="s">
        <v>621</v>
      </c>
      <c r="AB19" s="589">
        <v>0</v>
      </c>
      <c r="AC19" s="534" t="s">
        <v>574</v>
      </c>
      <c r="AD19" s="539"/>
      <c r="AE19" s="536"/>
      <c r="AF19" s="576" t="s">
        <v>457</v>
      </c>
      <c r="AG19" s="61" t="s">
        <v>622</v>
      </c>
      <c r="AH19" s="543">
        <v>1</v>
      </c>
      <c r="AI19" s="629" t="s">
        <v>457</v>
      </c>
      <c r="AJ19" s="582" t="s">
        <v>159</v>
      </c>
      <c r="AK19" s="634">
        <v>1</v>
      </c>
      <c r="AL19" s="629" t="s">
        <v>990</v>
      </c>
      <c r="AM19" s="62">
        <v>1</v>
      </c>
      <c r="AN19" s="61" t="s">
        <v>623</v>
      </c>
      <c r="AO19" s="61" t="s">
        <v>624</v>
      </c>
      <c r="AP19" s="540" t="s">
        <v>16</v>
      </c>
      <c r="AQ19" s="91">
        <v>44742</v>
      </c>
      <c r="AR19" s="92">
        <v>0</v>
      </c>
      <c r="AS19" s="62">
        <v>0</v>
      </c>
      <c r="AT19" s="525" t="s">
        <v>620</v>
      </c>
      <c r="AU19" s="196" t="s">
        <v>654</v>
      </c>
      <c r="AV19" s="196" t="s">
        <v>654</v>
      </c>
      <c r="AW19" s="196" t="s">
        <v>654</v>
      </c>
      <c r="AX19" s="430" t="s">
        <v>654</v>
      </c>
      <c r="AY19" s="607" t="s">
        <v>471</v>
      </c>
      <c r="AZ19" s="61" t="s">
        <v>930</v>
      </c>
      <c r="BA19" s="193" t="s">
        <v>929</v>
      </c>
      <c r="BB19" s="453" t="s">
        <v>928</v>
      </c>
      <c r="BC19" s="125" t="s">
        <v>457</v>
      </c>
      <c r="BD19" s="61" t="s">
        <v>930</v>
      </c>
      <c r="BE19" s="193" t="s">
        <v>929</v>
      </c>
      <c r="BF19" s="454" t="s">
        <v>928</v>
      </c>
      <c r="BG19" s="612" t="s">
        <v>991</v>
      </c>
    </row>
    <row r="20" spans="1:59" s="23" customFormat="1" ht="83.25" customHeight="1" thickBot="1" x14ac:dyDescent="0.3">
      <c r="A20" s="781"/>
      <c r="B20" s="784"/>
      <c r="C20" s="202"/>
      <c r="D20" s="787"/>
      <c r="E20" s="213" t="s">
        <v>161</v>
      </c>
      <c r="F20" s="220" t="s">
        <v>163</v>
      </c>
      <c r="G20" s="206" t="s">
        <v>16</v>
      </c>
      <c r="H20" s="206" t="s">
        <v>49</v>
      </c>
      <c r="I20" s="220" t="s">
        <v>164</v>
      </c>
      <c r="J20" s="508" t="s">
        <v>278</v>
      </c>
      <c r="K20" s="206">
        <v>0</v>
      </c>
      <c r="L20" s="679" t="s">
        <v>165</v>
      </c>
      <c r="M20" s="687" t="s">
        <v>162</v>
      </c>
      <c r="N20" s="220" t="str">
        <f>F20</f>
        <v>Percentage of organisational policy reviews and  updates conducted</v>
      </c>
      <c r="O20" s="206" t="s">
        <v>29</v>
      </c>
      <c r="P20" s="206" t="s">
        <v>30</v>
      </c>
      <c r="Q20" s="232">
        <v>44742</v>
      </c>
      <c r="R20" s="179" t="s">
        <v>166</v>
      </c>
      <c r="S20" s="179" t="s">
        <v>167</v>
      </c>
      <c r="T20" s="179" t="s">
        <v>168</v>
      </c>
      <c r="U20" s="179" t="s">
        <v>169</v>
      </c>
      <c r="V20" s="203">
        <v>250000</v>
      </c>
      <c r="W20" s="203">
        <v>21600</v>
      </c>
      <c r="X20" s="206" t="s">
        <v>250</v>
      </c>
      <c r="Y20" s="27" t="s">
        <v>170</v>
      </c>
      <c r="Z20" s="171" t="s">
        <v>330</v>
      </c>
      <c r="AA20" s="137" t="s">
        <v>625</v>
      </c>
      <c r="AB20" s="589">
        <v>0</v>
      </c>
      <c r="AC20" s="171" t="s">
        <v>330</v>
      </c>
      <c r="AD20" s="137" t="s">
        <v>625</v>
      </c>
      <c r="AE20" s="589">
        <v>0</v>
      </c>
      <c r="AF20" s="171" t="s">
        <v>330</v>
      </c>
      <c r="AG20" s="137" t="s">
        <v>625</v>
      </c>
      <c r="AH20" s="589">
        <v>0</v>
      </c>
      <c r="AI20" s="171" t="s">
        <v>330</v>
      </c>
      <c r="AJ20" s="137" t="s">
        <v>625</v>
      </c>
      <c r="AK20" s="642">
        <v>0</v>
      </c>
      <c r="AL20" s="171" t="s">
        <v>330</v>
      </c>
      <c r="AM20" s="590">
        <v>0</v>
      </c>
      <c r="AN20" s="143" t="s">
        <v>626</v>
      </c>
      <c r="AO20" s="61" t="s">
        <v>627</v>
      </c>
      <c r="AP20" s="540" t="s">
        <v>16</v>
      </c>
      <c r="AQ20" s="91">
        <v>44926</v>
      </c>
      <c r="AR20" s="92">
        <v>0</v>
      </c>
      <c r="AS20" s="62">
        <v>0</v>
      </c>
      <c r="AT20" s="525" t="s">
        <v>620</v>
      </c>
      <c r="AU20" s="196" t="s">
        <v>654</v>
      </c>
      <c r="AV20" s="196" t="s">
        <v>654</v>
      </c>
      <c r="AW20" s="196" t="s">
        <v>654</v>
      </c>
      <c r="AX20" s="430" t="s">
        <v>654</v>
      </c>
      <c r="AY20" s="170" t="s">
        <v>330</v>
      </c>
      <c r="AZ20" s="193" t="s">
        <v>927</v>
      </c>
      <c r="BA20" s="193" t="s">
        <v>738</v>
      </c>
      <c r="BB20" s="193" t="s">
        <v>738</v>
      </c>
      <c r="BC20" s="170" t="s">
        <v>330</v>
      </c>
      <c r="BD20" s="193" t="s">
        <v>927</v>
      </c>
      <c r="BE20" s="193" t="s">
        <v>878</v>
      </c>
      <c r="BF20" s="193" t="s">
        <v>738</v>
      </c>
      <c r="BG20" s="612"/>
    </row>
    <row r="21" spans="1:59" s="23" customFormat="1" ht="129.75" customHeight="1" x14ac:dyDescent="0.25">
      <c r="A21" s="781"/>
      <c r="B21" s="785"/>
      <c r="C21" s="202"/>
      <c r="D21" s="788"/>
      <c r="E21" s="213" t="s">
        <v>171</v>
      </c>
      <c r="F21" s="206" t="s">
        <v>46</v>
      </c>
      <c r="G21" s="206" t="s">
        <v>16</v>
      </c>
      <c r="H21" s="206" t="s">
        <v>185</v>
      </c>
      <c r="I21" s="206" t="s">
        <v>172</v>
      </c>
      <c r="J21" s="513" t="s">
        <v>281</v>
      </c>
      <c r="K21" s="489">
        <v>1</v>
      </c>
      <c r="L21" s="688" t="s">
        <v>186</v>
      </c>
      <c r="M21" s="235" t="s">
        <v>47</v>
      </c>
      <c r="N21" s="206" t="s">
        <v>46</v>
      </c>
      <c r="O21" s="206" t="s">
        <v>19</v>
      </c>
      <c r="P21" s="206" t="s">
        <v>20</v>
      </c>
      <c r="Q21" s="232">
        <v>44742</v>
      </c>
      <c r="R21" s="179" t="s">
        <v>173</v>
      </c>
      <c r="S21" s="179" t="s">
        <v>23</v>
      </c>
      <c r="T21" s="179" t="s">
        <v>23</v>
      </c>
      <c r="U21" s="179" t="s">
        <v>47</v>
      </c>
      <c r="V21" s="203">
        <f>29175.83+51907.34+40030.85+35000+1500+30000+8100+273040+87001.93</f>
        <v>555755.94999999995</v>
      </c>
      <c r="W21" s="203">
        <f>135311.19+107253.48+113616.96+206526.68+56300+44566.92+8100+580000+147362.96+10043.5</f>
        <v>1409081.69</v>
      </c>
      <c r="X21" s="206" t="s">
        <v>237</v>
      </c>
      <c r="Y21" s="27" t="s">
        <v>190</v>
      </c>
      <c r="Z21" s="171" t="s">
        <v>457</v>
      </c>
      <c r="AA21" s="137" t="s">
        <v>628</v>
      </c>
      <c r="AB21" s="589">
        <v>1</v>
      </c>
      <c r="AC21" s="534" t="s">
        <v>574</v>
      </c>
      <c r="AD21" s="539"/>
      <c r="AE21" s="536"/>
      <c r="AF21" s="534" t="s">
        <v>574</v>
      </c>
      <c r="AG21" s="539"/>
      <c r="AH21" s="536"/>
      <c r="AI21" s="586" t="s">
        <v>471</v>
      </c>
      <c r="AJ21" s="61" t="s">
        <v>629</v>
      </c>
      <c r="AK21" s="646">
        <v>0.8</v>
      </c>
      <c r="AL21" s="586" t="s">
        <v>471</v>
      </c>
      <c r="AM21" s="62">
        <v>0.8</v>
      </c>
      <c r="AN21" s="61" t="s">
        <v>630</v>
      </c>
      <c r="AO21" s="61" t="s">
        <v>631</v>
      </c>
      <c r="AP21" s="540" t="s">
        <v>49</v>
      </c>
      <c r="AQ21" s="91">
        <v>44834</v>
      </c>
      <c r="AR21" s="92">
        <v>1210409</v>
      </c>
      <c r="AS21" s="62">
        <f>AR21/W21</f>
        <v>0.8590055555969931</v>
      </c>
      <c r="AT21" s="548" t="s">
        <v>632</v>
      </c>
      <c r="AU21" s="196" t="s">
        <v>654</v>
      </c>
      <c r="AV21" s="196" t="s">
        <v>654</v>
      </c>
      <c r="AW21" s="196" t="s">
        <v>654</v>
      </c>
      <c r="AX21" s="430" t="s">
        <v>654</v>
      </c>
      <c r="AY21" s="607" t="s">
        <v>471</v>
      </c>
      <c r="AZ21" s="193" t="s">
        <v>925</v>
      </c>
      <c r="BA21" s="193" t="s">
        <v>926</v>
      </c>
      <c r="BB21" s="193" t="s">
        <v>738</v>
      </c>
      <c r="BC21" s="607" t="s">
        <v>471</v>
      </c>
      <c r="BD21" s="193" t="s">
        <v>925</v>
      </c>
      <c r="BE21" s="193" t="s">
        <v>878</v>
      </c>
      <c r="BF21" s="193" t="s">
        <v>738</v>
      </c>
      <c r="BG21" s="612"/>
    </row>
    <row r="22" spans="1:59" s="23" customFormat="1" ht="124.5" customHeight="1" thickBot="1" x14ac:dyDescent="0.3">
      <c r="A22" s="781"/>
      <c r="B22" s="837"/>
      <c r="C22" s="497">
        <v>2</v>
      </c>
      <c r="D22" s="837" t="s">
        <v>218</v>
      </c>
      <c r="E22" s="213" t="s">
        <v>180</v>
      </c>
      <c r="F22" s="206" t="s">
        <v>48</v>
      </c>
      <c r="G22" s="206" t="s">
        <v>16</v>
      </c>
      <c r="H22" s="206" t="s">
        <v>184</v>
      </c>
      <c r="I22" s="206" t="s">
        <v>50</v>
      </c>
      <c r="J22" s="226" t="s">
        <v>285</v>
      </c>
      <c r="K22" s="206" t="s">
        <v>240</v>
      </c>
      <c r="L22" s="678" t="s">
        <v>181</v>
      </c>
      <c r="M22" s="235" t="s">
        <v>241</v>
      </c>
      <c r="N22" s="206" t="s">
        <v>51</v>
      </c>
      <c r="O22" s="206" t="s">
        <v>29</v>
      </c>
      <c r="P22" s="206" t="s">
        <v>30</v>
      </c>
      <c r="Q22" s="232">
        <v>44742</v>
      </c>
      <c r="R22" s="179" t="s">
        <v>23</v>
      </c>
      <c r="S22" s="179" t="s">
        <v>23</v>
      </c>
      <c r="T22" s="179" t="s">
        <v>23</v>
      </c>
      <c r="U22" s="179" t="str">
        <f>M22</f>
        <v>R200000 own revenue generated from administrative functions</v>
      </c>
      <c r="V22" s="203">
        <v>0</v>
      </c>
      <c r="W22" s="203">
        <v>0</v>
      </c>
      <c r="X22" s="206" t="s">
        <v>122</v>
      </c>
      <c r="Y22" s="27" t="s">
        <v>191</v>
      </c>
      <c r="Z22" s="846" t="s">
        <v>574</v>
      </c>
      <c r="AA22" s="847"/>
      <c r="AB22" s="848"/>
      <c r="AC22" s="534" t="s">
        <v>574</v>
      </c>
      <c r="AD22" s="539"/>
      <c r="AE22" s="536"/>
      <c r="AF22" s="534" t="s">
        <v>574</v>
      </c>
      <c r="AG22" s="539"/>
      <c r="AH22" s="536"/>
      <c r="AI22" s="593" t="s">
        <v>923</v>
      </c>
      <c r="AJ22" s="61" t="s">
        <v>924</v>
      </c>
      <c r="AK22" s="642">
        <f>390601/200000</f>
        <v>1.9530050000000001</v>
      </c>
      <c r="AL22" s="593" t="s">
        <v>923</v>
      </c>
      <c r="AM22" s="62">
        <v>1.95</v>
      </c>
      <c r="AN22" s="540" t="s">
        <v>23</v>
      </c>
      <c r="AO22" s="540" t="s">
        <v>23</v>
      </c>
      <c r="AP22" s="540" t="s">
        <v>23</v>
      </c>
      <c r="AQ22" s="540" t="s">
        <v>23</v>
      </c>
      <c r="AR22" s="92">
        <v>0</v>
      </c>
      <c r="AS22" s="62">
        <v>0</v>
      </c>
      <c r="AT22" s="524" t="s">
        <v>23</v>
      </c>
      <c r="AU22" s="196" t="s">
        <v>654</v>
      </c>
      <c r="AV22" s="196" t="s">
        <v>654</v>
      </c>
      <c r="AW22" s="196" t="s">
        <v>654</v>
      </c>
      <c r="AX22" s="430" t="s">
        <v>654</v>
      </c>
      <c r="AY22" s="77" t="s">
        <v>923</v>
      </c>
      <c r="AZ22" s="193" t="s">
        <v>922</v>
      </c>
      <c r="BA22" s="193" t="s">
        <v>921</v>
      </c>
      <c r="BB22" s="193" t="s">
        <v>738</v>
      </c>
      <c r="BC22" s="77" t="s">
        <v>923</v>
      </c>
      <c r="BD22" s="193" t="s">
        <v>922</v>
      </c>
      <c r="BE22" s="193" t="s">
        <v>921</v>
      </c>
      <c r="BF22" s="193" t="s">
        <v>738</v>
      </c>
      <c r="BG22" s="612"/>
    </row>
    <row r="23" spans="1:59" s="23" customFormat="1" ht="259.5" customHeight="1" x14ac:dyDescent="0.25">
      <c r="A23" s="781"/>
      <c r="B23" s="837"/>
      <c r="C23" s="202"/>
      <c r="D23" s="837"/>
      <c r="E23" s="837" t="s">
        <v>182</v>
      </c>
      <c r="F23" s="809" t="s">
        <v>52</v>
      </c>
      <c r="G23" s="809" t="s">
        <v>16</v>
      </c>
      <c r="H23" s="810" t="s">
        <v>49</v>
      </c>
      <c r="I23" s="813" t="s">
        <v>53</v>
      </c>
      <c r="J23" s="862" t="s">
        <v>286</v>
      </c>
      <c r="K23" s="516" t="s">
        <v>40</v>
      </c>
      <c r="L23" s="679" t="s">
        <v>181</v>
      </c>
      <c r="M23" s="233" t="s">
        <v>54</v>
      </c>
      <c r="N23" s="809" t="s">
        <v>52</v>
      </c>
      <c r="O23" s="809" t="s">
        <v>29</v>
      </c>
      <c r="P23" s="809" t="s">
        <v>30</v>
      </c>
      <c r="Q23" s="865">
        <v>44742</v>
      </c>
      <c r="R23" s="658" t="s">
        <v>23</v>
      </c>
      <c r="S23" s="658" t="s">
        <v>23</v>
      </c>
      <c r="T23" s="658" t="s">
        <v>23</v>
      </c>
      <c r="U23" s="658" t="s">
        <v>193</v>
      </c>
      <c r="V23" s="855">
        <v>25000</v>
      </c>
      <c r="W23" s="855">
        <v>10000</v>
      </c>
      <c r="X23" s="810" t="s">
        <v>248</v>
      </c>
      <c r="Y23" s="792" t="s">
        <v>192</v>
      </c>
      <c r="Z23" s="856" t="s">
        <v>574</v>
      </c>
      <c r="AA23" s="857"/>
      <c r="AB23" s="858"/>
      <c r="AC23" s="622" t="s">
        <v>574</v>
      </c>
      <c r="AD23" s="567"/>
      <c r="AE23" s="596"/>
      <c r="AF23" s="622" t="s">
        <v>574</v>
      </c>
      <c r="AG23" s="567"/>
      <c r="AH23" s="596"/>
      <c r="AI23" s="601" t="s">
        <v>330</v>
      </c>
      <c r="AJ23" s="564" t="s">
        <v>981</v>
      </c>
      <c r="AK23" s="637">
        <v>0</v>
      </c>
      <c r="AL23" s="601" t="s">
        <v>330</v>
      </c>
      <c r="AM23" s="566">
        <v>0</v>
      </c>
      <c r="AN23" s="564" t="s">
        <v>980</v>
      </c>
      <c r="AO23" s="564" t="s">
        <v>979</v>
      </c>
      <c r="AP23" s="567" t="s">
        <v>67</v>
      </c>
      <c r="AQ23" s="567" t="s">
        <v>23</v>
      </c>
      <c r="AR23" s="191">
        <v>0</v>
      </c>
      <c r="AS23" s="566">
        <v>0</v>
      </c>
      <c r="AT23" s="596" t="s">
        <v>23</v>
      </c>
      <c r="AU23" s="623" t="s">
        <v>656</v>
      </c>
      <c r="AV23" s="624" t="s">
        <v>654</v>
      </c>
      <c r="AW23" s="624" t="s">
        <v>654</v>
      </c>
      <c r="AX23" s="625" t="s">
        <v>654</v>
      </c>
      <c r="AY23" s="601" t="s">
        <v>330</v>
      </c>
      <c r="AZ23" s="626" t="s">
        <v>920</v>
      </c>
      <c r="BA23" s="626" t="s">
        <v>917</v>
      </c>
      <c r="BB23" s="626" t="s">
        <v>919</v>
      </c>
      <c r="BC23" s="601" t="s">
        <v>330</v>
      </c>
      <c r="BD23" s="626" t="s">
        <v>918</v>
      </c>
      <c r="BE23" s="626" t="s">
        <v>917</v>
      </c>
      <c r="BF23" s="626" t="s">
        <v>916</v>
      </c>
      <c r="BG23" s="612" t="s">
        <v>982</v>
      </c>
    </row>
    <row r="24" spans="1:59" s="23" customFormat="1" ht="132" x14ac:dyDescent="0.25">
      <c r="A24" s="781"/>
      <c r="B24" s="837"/>
      <c r="C24" s="202"/>
      <c r="D24" s="837"/>
      <c r="E24" s="837"/>
      <c r="F24" s="809"/>
      <c r="G24" s="809"/>
      <c r="H24" s="811"/>
      <c r="I24" s="813"/>
      <c r="J24" s="863"/>
      <c r="K24" s="41">
        <v>65335</v>
      </c>
      <c r="L24" s="680" t="s">
        <v>187</v>
      </c>
      <c r="M24" s="681" t="s">
        <v>55</v>
      </c>
      <c r="N24" s="809"/>
      <c r="O24" s="809"/>
      <c r="P24" s="809"/>
      <c r="Q24" s="866"/>
      <c r="R24" s="660" t="s">
        <v>23</v>
      </c>
      <c r="S24" s="660" t="s">
        <v>23</v>
      </c>
      <c r="T24" s="660" t="s">
        <v>23</v>
      </c>
      <c r="U24" s="660" t="s">
        <v>194</v>
      </c>
      <c r="V24" s="855"/>
      <c r="W24" s="855"/>
      <c r="X24" s="811"/>
      <c r="Y24" s="793"/>
      <c r="Z24" s="859" t="s">
        <v>574</v>
      </c>
      <c r="AA24" s="860"/>
      <c r="AB24" s="861"/>
      <c r="AC24" s="534" t="s">
        <v>574</v>
      </c>
      <c r="AD24" s="539"/>
      <c r="AE24" s="536"/>
      <c r="AF24" s="534" t="s">
        <v>574</v>
      </c>
      <c r="AG24" s="539"/>
      <c r="AH24" s="535"/>
      <c r="AI24" s="615" t="s">
        <v>330</v>
      </c>
      <c r="AJ24" s="579" t="s">
        <v>1007</v>
      </c>
      <c r="AK24" s="647">
        <v>0</v>
      </c>
      <c r="AL24" s="615" t="s">
        <v>330</v>
      </c>
      <c r="AM24" s="555">
        <v>0</v>
      </c>
      <c r="AN24" s="579" t="s">
        <v>1008</v>
      </c>
      <c r="AO24" s="579" t="s">
        <v>1009</v>
      </c>
      <c r="AP24" s="539" t="s">
        <v>49</v>
      </c>
      <c r="AQ24" s="580">
        <v>45107</v>
      </c>
      <c r="AR24" s="539" t="s">
        <v>503</v>
      </c>
      <c r="AS24" s="555">
        <v>0</v>
      </c>
      <c r="AT24" s="616" t="s">
        <v>635</v>
      </c>
      <c r="AU24" s="617" t="s">
        <v>654</v>
      </c>
      <c r="AV24" s="617" t="s">
        <v>654</v>
      </c>
      <c r="AW24" s="617" t="s">
        <v>654</v>
      </c>
      <c r="AX24" s="618" t="s">
        <v>654</v>
      </c>
      <c r="AY24" s="615" t="s">
        <v>330</v>
      </c>
      <c r="AZ24" s="619" t="s">
        <v>914</v>
      </c>
      <c r="BA24" s="619" t="s">
        <v>910</v>
      </c>
      <c r="BB24" s="620" t="s">
        <v>915</v>
      </c>
      <c r="BC24" s="615" t="s">
        <v>330</v>
      </c>
      <c r="BD24" s="619" t="s">
        <v>914</v>
      </c>
      <c r="BE24" s="619" t="s">
        <v>910</v>
      </c>
      <c r="BF24" s="621" t="s">
        <v>913</v>
      </c>
      <c r="BG24" s="612"/>
    </row>
    <row r="25" spans="1:59" s="23" customFormat="1" ht="204.75" thickBot="1" x14ac:dyDescent="0.3">
      <c r="A25" s="781"/>
      <c r="B25" s="837"/>
      <c r="C25" s="498"/>
      <c r="D25" s="837"/>
      <c r="E25" s="837"/>
      <c r="F25" s="809"/>
      <c r="G25" s="809"/>
      <c r="H25" s="812"/>
      <c r="I25" s="813"/>
      <c r="J25" s="864"/>
      <c r="K25" s="517" t="s">
        <v>188</v>
      </c>
      <c r="L25" s="683" t="s">
        <v>189</v>
      </c>
      <c r="M25" s="684" t="s">
        <v>56</v>
      </c>
      <c r="N25" s="809"/>
      <c r="O25" s="809"/>
      <c r="P25" s="809"/>
      <c r="Q25" s="867"/>
      <c r="R25" s="657" t="s">
        <v>23</v>
      </c>
      <c r="S25" s="657" t="s">
        <v>23</v>
      </c>
      <c r="T25" s="657" t="s">
        <v>23</v>
      </c>
      <c r="U25" s="657" t="s">
        <v>195</v>
      </c>
      <c r="V25" s="855"/>
      <c r="W25" s="855"/>
      <c r="X25" s="812"/>
      <c r="Y25" s="794"/>
      <c r="Z25" s="846" t="s">
        <v>574</v>
      </c>
      <c r="AA25" s="847"/>
      <c r="AB25" s="848"/>
      <c r="AC25" s="534" t="s">
        <v>574</v>
      </c>
      <c r="AD25" s="539"/>
      <c r="AE25" s="536"/>
      <c r="AF25" s="534" t="s">
        <v>574</v>
      </c>
      <c r="AG25" s="539"/>
      <c r="AH25" s="535"/>
      <c r="AI25" s="190" t="s">
        <v>330</v>
      </c>
      <c r="AJ25" s="61" t="s">
        <v>983</v>
      </c>
      <c r="AK25" s="643">
        <v>0</v>
      </c>
      <c r="AL25" s="190" t="s">
        <v>330</v>
      </c>
      <c r="AM25" s="555">
        <v>0</v>
      </c>
      <c r="AN25" s="61" t="s">
        <v>984</v>
      </c>
      <c r="AO25" s="61" t="s">
        <v>633</v>
      </c>
      <c r="AP25" s="61" t="s">
        <v>985</v>
      </c>
      <c r="AQ25" s="91">
        <v>45107</v>
      </c>
      <c r="AR25" s="92">
        <v>0</v>
      </c>
      <c r="AS25" s="62">
        <v>0</v>
      </c>
      <c r="AT25" s="137" t="s">
        <v>636</v>
      </c>
      <c r="AU25" s="196" t="s">
        <v>654</v>
      </c>
      <c r="AV25" s="196" t="s">
        <v>654</v>
      </c>
      <c r="AW25" s="196" t="s">
        <v>654</v>
      </c>
      <c r="AX25" s="430" t="s">
        <v>654</v>
      </c>
      <c r="AY25" s="190" t="s">
        <v>330</v>
      </c>
      <c r="AZ25" s="193" t="s">
        <v>911</v>
      </c>
      <c r="BA25" s="193" t="s">
        <v>910</v>
      </c>
      <c r="BB25" s="453" t="s">
        <v>912</v>
      </c>
      <c r="BC25" s="190" t="s">
        <v>330</v>
      </c>
      <c r="BD25" s="193" t="s">
        <v>911</v>
      </c>
      <c r="BE25" s="193" t="s">
        <v>910</v>
      </c>
      <c r="BF25" s="454" t="s">
        <v>909</v>
      </c>
      <c r="BG25" s="612"/>
    </row>
    <row r="26" spans="1:59" s="23" customFormat="1" ht="132" customHeight="1" thickBot="1" x14ac:dyDescent="0.3">
      <c r="A26" s="781"/>
      <c r="B26" s="849"/>
      <c r="C26" s="202">
        <v>3</v>
      </c>
      <c r="D26" s="837" t="s">
        <v>219</v>
      </c>
      <c r="E26" s="837" t="s">
        <v>196</v>
      </c>
      <c r="F26" s="810" t="s">
        <v>57</v>
      </c>
      <c r="G26" s="204" t="s">
        <v>16</v>
      </c>
      <c r="H26" s="204" t="s">
        <v>185</v>
      </c>
      <c r="I26" s="204" t="s">
        <v>58</v>
      </c>
      <c r="J26" s="518" t="s">
        <v>287</v>
      </c>
      <c r="K26" s="204">
        <v>5</v>
      </c>
      <c r="L26" s="679" t="s">
        <v>197</v>
      </c>
      <c r="M26" s="233" t="s">
        <v>198</v>
      </c>
      <c r="N26" s="204" t="s">
        <v>57</v>
      </c>
      <c r="O26" s="204" t="s">
        <v>29</v>
      </c>
      <c r="P26" s="204" t="s">
        <v>30</v>
      </c>
      <c r="Q26" s="490">
        <v>44742</v>
      </c>
      <c r="R26" s="658" t="s">
        <v>201</v>
      </c>
      <c r="S26" s="658" t="s">
        <v>199</v>
      </c>
      <c r="T26" s="658" t="s">
        <v>200</v>
      </c>
      <c r="U26" s="658" t="s">
        <v>301</v>
      </c>
      <c r="V26" s="227">
        <v>0</v>
      </c>
      <c r="W26" s="227">
        <v>0</v>
      </c>
      <c r="X26" s="204" t="s">
        <v>122</v>
      </c>
      <c r="Y26" s="209" t="s">
        <v>202</v>
      </c>
      <c r="Z26" s="563" t="s">
        <v>457</v>
      </c>
      <c r="AA26" s="564" t="s">
        <v>637</v>
      </c>
      <c r="AB26" s="565">
        <v>1</v>
      </c>
      <c r="AC26" s="594" t="s">
        <v>330</v>
      </c>
      <c r="AD26" s="564" t="s">
        <v>638</v>
      </c>
      <c r="AE26" s="565">
        <v>0</v>
      </c>
      <c r="AF26" s="595" t="s">
        <v>457</v>
      </c>
      <c r="AG26" s="564" t="s">
        <v>639</v>
      </c>
      <c r="AH26" s="565">
        <v>1</v>
      </c>
      <c r="AI26" s="595" t="s">
        <v>457</v>
      </c>
      <c r="AJ26" s="564" t="s">
        <v>640</v>
      </c>
      <c r="AK26" s="648">
        <f>AH26</f>
        <v>1</v>
      </c>
      <c r="AL26" s="595" t="s">
        <v>986</v>
      </c>
      <c r="AM26" s="566">
        <v>1</v>
      </c>
      <c r="AN26" s="567" t="s">
        <v>23</v>
      </c>
      <c r="AO26" s="567" t="s">
        <v>23</v>
      </c>
      <c r="AP26" s="567" t="s">
        <v>23</v>
      </c>
      <c r="AQ26" s="567" t="s">
        <v>23</v>
      </c>
      <c r="AR26" s="191" t="s">
        <v>23</v>
      </c>
      <c r="AS26" s="566">
        <v>0</v>
      </c>
      <c r="AT26" s="596" t="s">
        <v>23</v>
      </c>
      <c r="AU26" s="196" t="s">
        <v>654</v>
      </c>
      <c r="AV26" s="196" t="s">
        <v>654</v>
      </c>
      <c r="AW26" s="196" t="s">
        <v>656</v>
      </c>
      <c r="AX26" s="430" t="s">
        <v>654</v>
      </c>
      <c r="AY26" s="126" t="s">
        <v>457</v>
      </c>
      <c r="AZ26" s="193" t="s">
        <v>908</v>
      </c>
      <c r="BA26" s="193" t="s">
        <v>906</v>
      </c>
      <c r="BB26" s="454" t="s">
        <v>905</v>
      </c>
      <c r="BC26" s="126" t="s">
        <v>457</v>
      </c>
      <c r="BD26" s="193" t="s">
        <v>907</v>
      </c>
      <c r="BE26" s="193" t="s">
        <v>906</v>
      </c>
      <c r="BF26" s="454" t="s">
        <v>905</v>
      </c>
      <c r="BG26" s="612"/>
    </row>
    <row r="27" spans="1:59" s="23" customFormat="1" ht="151.5" customHeight="1" thickBot="1" x14ac:dyDescent="0.3">
      <c r="A27" s="781"/>
      <c r="B27" s="850"/>
      <c r="C27" s="202"/>
      <c r="D27" s="837"/>
      <c r="E27" s="837"/>
      <c r="F27" s="811"/>
      <c r="G27" s="496" t="s">
        <v>203</v>
      </c>
      <c r="H27" s="496" t="s">
        <v>204</v>
      </c>
      <c r="I27" s="519" t="s">
        <v>205</v>
      </c>
      <c r="J27" s="508" t="s">
        <v>288</v>
      </c>
      <c r="K27" s="520" t="s">
        <v>40</v>
      </c>
      <c r="L27" s="680" t="s">
        <v>206</v>
      </c>
      <c r="M27" s="681" t="str">
        <f>I27</f>
        <v>1 annual board perfrmance evaluation conducted</v>
      </c>
      <c r="N27" s="496" t="s">
        <v>59</v>
      </c>
      <c r="O27" s="496" t="s">
        <v>20</v>
      </c>
      <c r="P27" s="496" t="s">
        <v>19</v>
      </c>
      <c r="Q27" s="492">
        <v>44742</v>
      </c>
      <c r="R27" s="660" t="s">
        <v>23</v>
      </c>
      <c r="S27" s="660" t="s">
        <v>23</v>
      </c>
      <c r="T27" s="660" t="s">
        <v>23</v>
      </c>
      <c r="U27" s="660" t="str">
        <f>M27</f>
        <v>1 annual board perfrmance evaluation conducted</v>
      </c>
      <c r="V27" s="502">
        <v>0</v>
      </c>
      <c r="W27" s="502">
        <v>0</v>
      </c>
      <c r="X27" s="496" t="s">
        <v>207</v>
      </c>
      <c r="Y27" s="500" t="s">
        <v>208</v>
      </c>
      <c r="Z27" s="852" t="s">
        <v>574</v>
      </c>
      <c r="AA27" s="853"/>
      <c r="AB27" s="854"/>
      <c r="AC27" s="597" t="s">
        <v>574</v>
      </c>
      <c r="AD27" s="598"/>
      <c r="AE27" s="599"/>
      <c r="AF27" s="597" t="s">
        <v>574</v>
      </c>
      <c r="AG27" s="598"/>
      <c r="AH27" s="600"/>
      <c r="AI27" s="601" t="s">
        <v>330</v>
      </c>
      <c r="AJ27" s="564" t="s">
        <v>643</v>
      </c>
      <c r="AK27" s="649">
        <v>0</v>
      </c>
      <c r="AL27" s="601" t="s">
        <v>330</v>
      </c>
      <c r="AM27" s="566">
        <v>0</v>
      </c>
      <c r="AN27" s="564" t="s">
        <v>987</v>
      </c>
      <c r="AO27" s="564" t="s">
        <v>641</v>
      </c>
      <c r="AP27" s="564" t="s">
        <v>642</v>
      </c>
      <c r="AQ27" s="602">
        <v>44926</v>
      </c>
      <c r="AR27" s="567" t="s">
        <v>23</v>
      </c>
      <c r="AS27" s="566">
        <v>0</v>
      </c>
      <c r="AT27" s="596" t="s">
        <v>23</v>
      </c>
      <c r="AU27" s="196" t="s">
        <v>654</v>
      </c>
      <c r="AV27" s="196" t="s">
        <v>654</v>
      </c>
      <c r="AW27" s="196" t="s">
        <v>654</v>
      </c>
      <c r="AX27" s="430" t="s">
        <v>654</v>
      </c>
      <c r="AY27" s="190" t="s">
        <v>330</v>
      </c>
      <c r="AZ27" s="61" t="s">
        <v>904</v>
      </c>
      <c r="BA27" s="193" t="s">
        <v>738</v>
      </c>
      <c r="BB27" s="193" t="s">
        <v>738</v>
      </c>
      <c r="BC27" s="190" t="s">
        <v>330</v>
      </c>
      <c r="BD27" s="61" t="s">
        <v>904</v>
      </c>
      <c r="BE27" s="193" t="s">
        <v>878</v>
      </c>
      <c r="BF27" s="193" t="s">
        <v>738</v>
      </c>
      <c r="BG27" s="612"/>
    </row>
    <row r="28" spans="1:59" s="23" customFormat="1" ht="247.5" customHeight="1" thickBot="1" x14ac:dyDescent="0.3">
      <c r="A28" s="781"/>
      <c r="B28" s="850"/>
      <c r="C28" s="202"/>
      <c r="D28" s="837"/>
      <c r="E28" s="837"/>
      <c r="F28" s="812"/>
      <c r="G28" s="205" t="s">
        <v>16</v>
      </c>
      <c r="H28" s="205" t="s">
        <v>185</v>
      </c>
      <c r="I28" s="521" t="s">
        <v>61</v>
      </c>
      <c r="J28" s="508" t="s">
        <v>289</v>
      </c>
      <c r="K28" s="522">
        <v>2</v>
      </c>
      <c r="L28" s="683" t="s">
        <v>209</v>
      </c>
      <c r="M28" s="684" t="s">
        <v>62</v>
      </c>
      <c r="N28" s="205" t="s">
        <v>60</v>
      </c>
      <c r="O28" s="205" t="s">
        <v>29</v>
      </c>
      <c r="P28" s="205" t="s">
        <v>45</v>
      </c>
      <c r="Q28" s="491">
        <v>44742</v>
      </c>
      <c r="R28" s="657" t="s">
        <v>23</v>
      </c>
      <c r="S28" s="657" t="s">
        <v>23</v>
      </c>
      <c r="T28" s="657" t="s">
        <v>210</v>
      </c>
      <c r="U28" s="657" t="s">
        <v>23</v>
      </c>
      <c r="V28" s="228">
        <v>0</v>
      </c>
      <c r="W28" s="228">
        <v>0</v>
      </c>
      <c r="X28" s="205" t="s">
        <v>122</v>
      </c>
      <c r="Y28" s="210" t="s">
        <v>211</v>
      </c>
      <c r="Z28" s="597" t="s">
        <v>574</v>
      </c>
      <c r="AA28" s="598"/>
      <c r="AB28" s="600"/>
      <c r="AC28" s="597" t="s">
        <v>574</v>
      </c>
      <c r="AD28" s="598"/>
      <c r="AE28" s="600"/>
      <c r="AF28" s="584" t="s">
        <v>330</v>
      </c>
      <c r="AG28" s="582" t="s">
        <v>644</v>
      </c>
      <c r="AH28" s="542">
        <f>1/3</f>
        <v>0.33333333333333331</v>
      </c>
      <c r="AI28" s="846" t="s">
        <v>574</v>
      </c>
      <c r="AJ28" s="847"/>
      <c r="AK28" s="848"/>
      <c r="AL28" s="584" t="s">
        <v>330</v>
      </c>
      <c r="AM28" s="555">
        <v>0</v>
      </c>
      <c r="AN28" s="579" t="s">
        <v>645</v>
      </c>
      <c r="AO28" s="579" t="s">
        <v>647</v>
      </c>
      <c r="AP28" s="579" t="s">
        <v>646</v>
      </c>
      <c r="AQ28" s="580">
        <v>44926</v>
      </c>
      <c r="AR28" s="201">
        <v>0</v>
      </c>
      <c r="AS28" s="555">
        <v>0</v>
      </c>
      <c r="AT28" s="533" t="s">
        <v>23</v>
      </c>
      <c r="AU28" s="196" t="s">
        <v>654</v>
      </c>
      <c r="AV28" s="196" t="s">
        <v>654</v>
      </c>
      <c r="AW28" s="196" t="s">
        <v>654</v>
      </c>
      <c r="AX28" s="430" t="s">
        <v>654</v>
      </c>
      <c r="AY28" s="61" t="s">
        <v>833</v>
      </c>
      <c r="AZ28" s="61" t="s">
        <v>834</v>
      </c>
      <c r="BA28" s="193" t="s">
        <v>738</v>
      </c>
      <c r="BB28" s="193" t="s">
        <v>738</v>
      </c>
      <c r="BC28" s="190" t="s">
        <v>330</v>
      </c>
      <c r="BD28" s="193" t="s">
        <v>903</v>
      </c>
      <c r="BE28" s="193" t="s">
        <v>878</v>
      </c>
      <c r="BF28" s="193" t="s">
        <v>738</v>
      </c>
      <c r="BG28" s="612"/>
    </row>
    <row r="29" spans="1:59" s="23" customFormat="1" ht="227.25" customHeight="1" thickBot="1" x14ac:dyDescent="0.3">
      <c r="A29" s="782"/>
      <c r="B29" s="851"/>
      <c r="C29" s="504">
        <v>4</v>
      </c>
      <c r="D29" s="215" t="s">
        <v>220</v>
      </c>
      <c r="E29" s="215" t="s">
        <v>212</v>
      </c>
      <c r="F29" s="230" t="s">
        <v>63</v>
      </c>
      <c r="G29" s="230" t="s">
        <v>16</v>
      </c>
      <c r="H29" s="230" t="s">
        <v>49</v>
      </c>
      <c r="I29" s="230" t="s">
        <v>246</v>
      </c>
      <c r="J29" s="508" t="s">
        <v>289</v>
      </c>
      <c r="K29" s="505">
        <v>0.89</v>
      </c>
      <c r="L29" s="689" t="s">
        <v>215</v>
      </c>
      <c r="M29" s="690" t="s">
        <v>245</v>
      </c>
      <c r="N29" s="230" t="s">
        <v>63</v>
      </c>
      <c r="O29" s="230" t="s">
        <v>29</v>
      </c>
      <c r="P29" s="230" t="s">
        <v>30</v>
      </c>
      <c r="Q29" s="29">
        <v>44742</v>
      </c>
      <c r="R29" s="665" t="s">
        <v>213</v>
      </c>
      <c r="S29" s="665" t="s">
        <v>247</v>
      </c>
      <c r="T29" s="665" t="s">
        <v>302</v>
      </c>
      <c r="U29" s="665" t="s">
        <v>300</v>
      </c>
      <c r="V29" s="503">
        <f>21116117.09+20000+20000+50000</f>
        <v>21206117.09</v>
      </c>
      <c r="W29" s="503">
        <f>22823261.72+16141.57+0+45428.84</f>
        <v>22884832.129999999</v>
      </c>
      <c r="X29" s="230" t="s">
        <v>249</v>
      </c>
      <c r="Y29" s="30" t="s">
        <v>214</v>
      </c>
      <c r="Z29" s="603" t="s">
        <v>457</v>
      </c>
      <c r="AA29" s="94" t="s">
        <v>648</v>
      </c>
      <c r="AB29" s="545">
        <v>1</v>
      </c>
      <c r="AC29" s="603" t="s">
        <v>457</v>
      </c>
      <c r="AD29" s="94" t="s">
        <v>648</v>
      </c>
      <c r="AE29" s="545">
        <f>75/25</f>
        <v>3</v>
      </c>
      <c r="AF29" s="603" t="s">
        <v>457</v>
      </c>
      <c r="AG29" s="94" t="s">
        <v>650</v>
      </c>
      <c r="AH29" s="545">
        <f>90/75</f>
        <v>1.2</v>
      </c>
      <c r="AI29" s="604" t="s">
        <v>330</v>
      </c>
      <c r="AJ29" s="94" t="s">
        <v>651</v>
      </c>
      <c r="AK29" s="650">
        <f>52/75</f>
        <v>0.69333333333333336</v>
      </c>
      <c r="AL29" s="604" t="s">
        <v>330</v>
      </c>
      <c r="AM29" s="62">
        <f>52/100</f>
        <v>0.52</v>
      </c>
      <c r="AN29" s="61" t="s">
        <v>988</v>
      </c>
      <c r="AO29" s="61" t="s">
        <v>989</v>
      </c>
      <c r="AP29" s="61" t="s">
        <v>634</v>
      </c>
      <c r="AQ29" s="91">
        <v>44926</v>
      </c>
      <c r="AR29" s="540">
        <v>21042738.02</v>
      </c>
      <c r="AS29" s="62">
        <f>AR29/W29</f>
        <v>0.91950589370567515</v>
      </c>
      <c r="AT29" s="527" t="s">
        <v>649</v>
      </c>
      <c r="AU29" s="196" t="s">
        <v>654</v>
      </c>
      <c r="AV29" s="196" t="s">
        <v>654</v>
      </c>
      <c r="AW29" s="196" t="s">
        <v>654</v>
      </c>
      <c r="AX29" s="430" t="s">
        <v>654</v>
      </c>
      <c r="AY29" s="190" t="s">
        <v>330</v>
      </c>
      <c r="AZ29" s="61" t="s">
        <v>901</v>
      </c>
      <c r="BA29" s="193" t="s">
        <v>902</v>
      </c>
      <c r="BB29" s="193" t="s">
        <v>738</v>
      </c>
      <c r="BC29" s="190" t="s">
        <v>330</v>
      </c>
      <c r="BD29" s="61" t="s">
        <v>901</v>
      </c>
      <c r="BE29" s="193" t="s">
        <v>878</v>
      </c>
      <c r="BF29" s="193" t="s">
        <v>738</v>
      </c>
      <c r="BG29" s="612"/>
    </row>
    <row r="30" spans="1:59" s="35" customFormat="1" x14ac:dyDescent="0.2">
      <c r="C30" s="36"/>
      <c r="F30" s="192">
        <f>COUNTA(F4:F29)</f>
        <v>15</v>
      </c>
      <c r="G30" s="192"/>
      <c r="H30" s="192"/>
      <c r="I30" s="192"/>
      <c r="J30" s="192"/>
      <c r="K30" s="192"/>
      <c r="L30" s="192">
        <f>COUNTA(L4:L29)</f>
        <v>26</v>
      </c>
      <c r="M30" s="515"/>
      <c r="R30" s="654"/>
      <c r="S30" s="654"/>
      <c r="T30" s="654"/>
      <c r="U30" s="654"/>
      <c r="V30" s="38">
        <f>SUM(V4:V29)</f>
        <v>24006873.039999999</v>
      </c>
      <c r="W30" s="38">
        <f>SUM(W4:W29)</f>
        <v>29646020.859999999</v>
      </c>
      <c r="AB30" s="135"/>
      <c r="AK30" s="192"/>
      <c r="AM30" s="135"/>
      <c r="BG30" s="613"/>
    </row>
    <row r="31" spans="1:59" ht="3" customHeight="1" x14ac:dyDescent="0.2"/>
  </sheetData>
  <mergeCells count="112">
    <mergeCell ref="AS10:AS11"/>
    <mergeCell ref="AR10:AR11"/>
    <mergeCell ref="AI28:AK28"/>
    <mergeCell ref="Z24:AB24"/>
    <mergeCell ref="Z25:AB25"/>
    <mergeCell ref="I23:I25"/>
    <mergeCell ref="J23:J25"/>
    <mergeCell ref="N23:N25"/>
    <mergeCell ref="O23:O25"/>
    <mergeCell ref="P23:P25"/>
    <mergeCell ref="Q23:Q25"/>
    <mergeCell ref="Z17:AB17"/>
    <mergeCell ref="AR13:AR14"/>
    <mergeCell ref="AS13:AS14"/>
    <mergeCell ref="B26:B29"/>
    <mergeCell ref="D26:D28"/>
    <mergeCell ref="E26:E28"/>
    <mergeCell ref="F26:F28"/>
    <mergeCell ref="Z27:AB27"/>
    <mergeCell ref="V23:V25"/>
    <mergeCell ref="W23:W25"/>
    <mergeCell ref="X23:X25"/>
    <mergeCell ref="Y23:Y25"/>
    <mergeCell ref="Z23:AB23"/>
    <mergeCell ref="E18:E19"/>
    <mergeCell ref="Z18:AB18"/>
    <mergeCell ref="B22:B25"/>
    <mergeCell ref="D22:D25"/>
    <mergeCell ref="Z22:AB22"/>
    <mergeCell ref="E23:E25"/>
    <mergeCell ref="F23:F25"/>
    <mergeCell ref="G23:G25"/>
    <mergeCell ref="H23:H25"/>
    <mergeCell ref="AT13:AT14"/>
    <mergeCell ref="AC14:AE14"/>
    <mergeCell ref="F15:F17"/>
    <mergeCell ref="I15:I17"/>
    <mergeCell ref="M15:M17"/>
    <mergeCell ref="N15:N17"/>
    <mergeCell ref="Z16:AB16"/>
    <mergeCell ref="AC16:AE16"/>
    <mergeCell ref="Z12:AB12"/>
    <mergeCell ref="AC12:AE12"/>
    <mergeCell ref="AF12:AH12"/>
    <mergeCell ref="E13:E17"/>
    <mergeCell ref="F13:F14"/>
    <mergeCell ref="G13:G17"/>
    <mergeCell ref="H13:H14"/>
    <mergeCell ref="I13:I14"/>
    <mergeCell ref="N13:N14"/>
    <mergeCell ref="AF16:AH16"/>
    <mergeCell ref="V10:V11"/>
    <mergeCell ref="W10:W11"/>
    <mergeCell ref="X10:X11"/>
    <mergeCell ref="Z10:AB10"/>
    <mergeCell ref="AC10:AE10"/>
    <mergeCell ref="AF10:AH10"/>
    <mergeCell ref="Z11:AB11"/>
    <mergeCell ref="AC11:AE11"/>
    <mergeCell ref="AF11:AH11"/>
    <mergeCell ref="S2:S3"/>
    <mergeCell ref="T2:T3"/>
    <mergeCell ref="U2:U3"/>
    <mergeCell ref="V2:X2"/>
    <mergeCell ref="Y2:Y3"/>
    <mergeCell ref="Z2:AB2"/>
    <mergeCell ref="AC2:AE2"/>
    <mergeCell ref="AF2:AH2"/>
    <mergeCell ref="AI2:AK2"/>
    <mergeCell ref="P5:P9"/>
    <mergeCell ref="AP5:AP9"/>
    <mergeCell ref="AQ5:AQ9"/>
    <mergeCell ref="AR5:AR9"/>
    <mergeCell ref="AS5:AS9"/>
    <mergeCell ref="AT5:AT9"/>
    <mergeCell ref="AA7:AA8"/>
    <mergeCell ref="AD7:AD8"/>
    <mergeCell ref="AG7:AG8"/>
    <mergeCell ref="AJ7:AJ8"/>
    <mergeCell ref="AU2:BF2"/>
    <mergeCell ref="A4:A29"/>
    <mergeCell ref="B4:B21"/>
    <mergeCell ref="D4:D21"/>
    <mergeCell ref="AC4:AE4"/>
    <mergeCell ref="E5:E12"/>
    <mergeCell ref="Y5:Y9"/>
    <mergeCell ref="AN5:AN9"/>
    <mergeCell ref="AO5:AO9"/>
    <mergeCell ref="L2:M3"/>
    <mergeCell ref="N2:N3"/>
    <mergeCell ref="O2:O3"/>
    <mergeCell ref="P2:P3"/>
    <mergeCell ref="Q2:Q3"/>
    <mergeCell ref="R2:R3"/>
    <mergeCell ref="AL2:AT2"/>
    <mergeCell ref="F5:F9"/>
    <mergeCell ref="G5:G9"/>
    <mergeCell ref="H5:H9"/>
    <mergeCell ref="I5:I9"/>
    <mergeCell ref="J5:J9"/>
    <mergeCell ref="K5:K9"/>
    <mergeCell ref="N5:N9"/>
    <mergeCell ref="O5:O9"/>
    <mergeCell ref="A1:K1"/>
    <mergeCell ref="A2:A3"/>
    <mergeCell ref="B2:B3"/>
    <mergeCell ref="C2:D3"/>
    <mergeCell ref="E2:E3"/>
    <mergeCell ref="F2:F3"/>
    <mergeCell ref="G2:G3"/>
    <mergeCell ref="I2:I3"/>
    <mergeCell ref="J2:K3"/>
  </mergeCells>
  <conditionalFormatting sqref="AZ4:AZ17 AZ20:AZ26 AZ28">
    <cfRule type="containsText" dxfId="720" priority="244" operator="containsText" text="Achieved ">
      <formula>NOT(ISERROR(SEARCH("Achieved ",AZ4)))</formula>
    </cfRule>
    <cfRule type="containsText" dxfId="719" priority="245" operator="containsText" text="Achieved above target">
      <formula>NOT(ISERROR(SEARCH("Achieved above target",AZ4)))</formula>
    </cfRule>
  </conditionalFormatting>
  <conditionalFormatting sqref="AZ4:AZ17 AZ20:AZ26 AZ28">
    <cfRule type="containsText" dxfId="718" priority="239" operator="containsText" text="Part Achieved">
      <formula>NOT(ISERROR(SEARCH("Part Achieved",AZ4)))</formula>
    </cfRule>
    <cfRule type="containsText" dxfId="717" priority="240" operator="containsText" text="Achieved above target">
      <formula>NOT(ISERROR(SEARCH("Achieved above target",AZ4)))</formula>
    </cfRule>
    <cfRule type="containsText" dxfId="716" priority="241" operator="containsText" text="Not achieved">
      <formula>NOT(ISERROR(SEARCH("Not achieved",AZ4)))</formula>
    </cfRule>
    <cfRule type="containsText" dxfId="715" priority="242" operator="containsText" text="Not achieved">
      <formula>NOT(ISERROR(SEARCH("Not achieved",AZ4)))</formula>
    </cfRule>
    <cfRule type="containsText" dxfId="714" priority="243" operator="containsText" text="Achieved">
      <formula>NOT(ISERROR(SEARCH("Achieved",AZ4)))</formula>
    </cfRule>
  </conditionalFormatting>
  <conditionalFormatting sqref="BE13:BE14 BE4:BF11">
    <cfRule type="containsText" dxfId="713" priority="237" operator="containsText" text="Achieved ">
      <formula>NOT(ISERROR(SEARCH("Achieved ",BE4)))</formula>
    </cfRule>
    <cfRule type="containsText" dxfId="712" priority="238" operator="containsText" text="Achieved above target">
      <formula>NOT(ISERROR(SEARCH("Achieved above target",BE4)))</formula>
    </cfRule>
  </conditionalFormatting>
  <conditionalFormatting sqref="BE13:BE14 BE4:BF11">
    <cfRule type="containsText" dxfId="711" priority="232" operator="containsText" text="Part Achieved">
      <formula>NOT(ISERROR(SEARCH("Part Achieved",BE4)))</formula>
    </cfRule>
    <cfRule type="containsText" dxfId="710" priority="233" operator="containsText" text="Achieved above target">
      <formula>NOT(ISERROR(SEARCH("Achieved above target",BE4)))</formula>
    </cfRule>
    <cfRule type="containsText" dxfId="709" priority="234" operator="containsText" text="Not achieved">
      <formula>NOT(ISERROR(SEARCH("Not achieved",BE4)))</formula>
    </cfRule>
    <cfRule type="containsText" dxfId="708" priority="235" operator="containsText" text="Not achieved">
      <formula>NOT(ISERROR(SEARCH("Not achieved",BE4)))</formula>
    </cfRule>
    <cfRule type="containsText" dxfId="707" priority="236" operator="containsText" text="Achieved">
      <formula>NOT(ISERROR(SEARCH("Achieved",BE4)))</formula>
    </cfRule>
  </conditionalFormatting>
  <conditionalFormatting sqref="BD4:BD9 BD13:BD14 BD28">
    <cfRule type="containsText" dxfId="706" priority="230" operator="containsText" text="Achieved ">
      <formula>NOT(ISERROR(SEARCH("Achieved ",BD4)))</formula>
    </cfRule>
    <cfRule type="containsText" dxfId="705" priority="231" operator="containsText" text="Achieved above target">
      <formula>NOT(ISERROR(SEARCH("Achieved above target",BD4)))</formula>
    </cfRule>
  </conditionalFormatting>
  <conditionalFormatting sqref="BD4:BD9 BD13:BD14 BD28">
    <cfRule type="containsText" dxfId="704" priority="225" operator="containsText" text="Part Achieved">
      <formula>NOT(ISERROR(SEARCH("Part Achieved",BD4)))</formula>
    </cfRule>
    <cfRule type="containsText" dxfId="703" priority="226" operator="containsText" text="Achieved above target">
      <formula>NOT(ISERROR(SEARCH("Achieved above target",BD4)))</formula>
    </cfRule>
    <cfRule type="containsText" dxfId="702" priority="227" operator="containsText" text="Not achieved">
      <formula>NOT(ISERROR(SEARCH("Not achieved",BD4)))</formula>
    </cfRule>
    <cfRule type="containsText" dxfId="701" priority="228" operator="containsText" text="Not achieved">
      <formula>NOT(ISERROR(SEARCH("Not achieved",BD4)))</formula>
    </cfRule>
    <cfRule type="containsText" dxfId="700" priority="229" operator="containsText" text="Achieved">
      <formula>NOT(ISERROR(SEARCH("Achieved",BD4)))</formula>
    </cfRule>
  </conditionalFormatting>
  <conditionalFormatting sqref="AY28">
    <cfRule type="containsText" dxfId="699" priority="223" operator="containsText" text="Achieved ">
      <formula>NOT(ISERROR(SEARCH("Achieved ",AY28)))</formula>
    </cfRule>
    <cfRule type="containsText" dxfId="698" priority="224" operator="containsText" text="Achieved above target">
      <formula>NOT(ISERROR(SEARCH("Achieved above target",AY28)))</formula>
    </cfRule>
  </conditionalFormatting>
  <conditionalFormatting sqref="AY28">
    <cfRule type="containsText" dxfId="697" priority="218" operator="containsText" text="Part Achieved">
      <formula>NOT(ISERROR(SEARCH("Part Achieved",AY28)))</formula>
    </cfRule>
    <cfRule type="containsText" dxfId="696" priority="219" operator="containsText" text="Achieved above target">
      <formula>NOT(ISERROR(SEARCH("Achieved above target",AY28)))</formula>
    </cfRule>
    <cfRule type="containsText" dxfId="695" priority="220" operator="containsText" text="Not achieved">
      <formula>NOT(ISERROR(SEARCH("Not achieved",AY28)))</formula>
    </cfRule>
    <cfRule type="containsText" dxfId="694" priority="221" operator="containsText" text="Not achieved">
      <formula>NOT(ISERROR(SEARCH("Not achieved",AY28)))</formula>
    </cfRule>
    <cfRule type="containsText" dxfId="693" priority="222" operator="containsText" text="Achieved">
      <formula>NOT(ISERROR(SEARCH("Achieved",AY28)))</formula>
    </cfRule>
  </conditionalFormatting>
  <conditionalFormatting sqref="BD10">
    <cfRule type="containsText" dxfId="692" priority="216" operator="containsText" text="Achieved ">
      <formula>NOT(ISERROR(SEARCH("Achieved ",BD10)))</formula>
    </cfRule>
    <cfRule type="containsText" dxfId="691" priority="217" operator="containsText" text="Achieved above target">
      <formula>NOT(ISERROR(SEARCH("Achieved above target",BD10)))</formula>
    </cfRule>
  </conditionalFormatting>
  <conditionalFormatting sqref="BD10">
    <cfRule type="containsText" dxfId="690" priority="211" operator="containsText" text="Part Achieved">
      <formula>NOT(ISERROR(SEARCH("Part Achieved",BD10)))</formula>
    </cfRule>
    <cfRule type="containsText" dxfId="689" priority="212" operator="containsText" text="Achieved above target">
      <formula>NOT(ISERROR(SEARCH("Achieved above target",BD10)))</formula>
    </cfRule>
    <cfRule type="containsText" dxfId="688" priority="213" operator="containsText" text="Not achieved">
      <formula>NOT(ISERROR(SEARCH("Not achieved",BD10)))</formula>
    </cfRule>
    <cfRule type="containsText" dxfId="687" priority="214" operator="containsText" text="Not achieved">
      <formula>NOT(ISERROR(SEARCH("Not achieved",BD10)))</formula>
    </cfRule>
    <cfRule type="containsText" dxfId="686" priority="215" operator="containsText" text="Achieved">
      <formula>NOT(ISERROR(SEARCH("Achieved",BD10)))</formula>
    </cfRule>
  </conditionalFormatting>
  <conditionalFormatting sqref="BD11">
    <cfRule type="containsText" dxfId="685" priority="209" operator="containsText" text="Achieved ">
      <formula>NOT(ISERROR(SEARCH("Achieved ",BD11)))</formula>
    </cfRule>
    <cfRule type="containsText" dxfId="684" priority="210" operator="containsText" text="Achieved above target">
      <formula>NOT(ISERROR(SEARCH("Achieved above target",BD11)))</formula>
    </cfRule>
  </conditionalFormatting>
  <conditionalFormatting sqref="BD11">
    <cfRule type="containsText" dxfId="683" priority="204" operator="containsText" text="Part Achieved">
      <formula>NOT(ISERROR(SEARCH("Part Achieved",BD11)))</formula>
    </cfRule>
    <cfRule type="containsText" dxfId="682" priority="205" operator="containsText" text="Achieved above target">
      <formula>NOT(ISERROR(SEARCH("Achieved above target",BD11)))</formula>
    </cfRule>
    <cfRule type="containsText" dxfId="681" priority="206" operator="containsText" text="Not achieved">
      <formula>NOT(ISERROR(SEARCH("Not achieved",BD11)))</formula>
    </cfRule>
    <cfRule type="containsText" dxfId="680" priority="207" operator="containsText" text="Not achieved">
      <formula>NOT(ISERROR(SEARCH("Not achieved",BD11)))</formula>
    </cfRule>
    <cfRule type="containsText" dxfId="679" priority="208" operator="containsText" text="Achieved">
      <formula>NOT(ISERROR(SEARCH("Achieved",BD11)))</formula>
    </cfRule>
  </conditionalFormatting>
  <conditionalFormatting sqref="BD12">
    <cfRule type="containsText" dxfId="678" priority="202" operator="containsText" text="Achieved ">
      <formula>NOT(ISERROR(SEARCH("Achieved ",BD12)))</formula>
    </cfRule>
    <cfRule type="containsText" dxfId="677" priority="203" operator="containsText" text="Achieved above target">
      <formula>NOT(ISERROR(SEARCH("Achieved above target",BD12)))</formula>
    </cfRule>
  </conditionalFormatting>
  <conditionalFormatting sqref="BD12">
    <cfRule type="containsText" dxfId="676" priority="197" operator="containsText" text="Part Achieved">
      <formula>NOT(ISERROR(SEARCH("Part Achieved",BD12)))</formula>
    </cfRule>
    <cfRule type="containsText" dxfId="675" priority="198" operator="containsText" text="Achieved above target">
      <formula>NOT(ISERROR(SEARCH("Achieved above target",BD12)))</formula>
    </cfRule>
    <cfRule type="containsText" dxfId="674" priority="199" operator="containsText" text="Not achieved">
      <formula>NOT(ISERROR(SEARCH("Not achieved",BD12)))</formula>
    </cfRule>
    <cfRule type="containsText" dxfId="673" priority="200" operator="containsText" text="Not achieved">
      <formula>NOT(ISERROR(SEARCH("Not achieved",BD12)))</formula>
    </cfRule>
    <cfRule type="containsText" dxfId="672" priority="201" operator="containsText" text="Achieved">
      <formula>NOT(ISERROR(SEARCH("Achieved",BD12)))</formula>
    </cfRule>
  </conditionalFormatting>
  <conditionalFormatting sqref="BD15">
    <cfRule type="containsText" dxfId="671" priority="195" operator="containsText" text="Achieved ">
      <formula>NOT(ISERROR(SEARCH("Achieved ",BD15)))</formula>
    </cfRule>
    <cfRule type="containsText" dxfId="670" priority="196" operator="containsText" text="Achieved above target">
      <formula>NOT(ISERROR(SEARCH("Achieved above target",BD15)))</formula>
    </cfRule>
  </conditionalFormatting>
  <conditionalFormatting sqref="BD15">
    <cfRule type="containsText" dxfId="669" priority="190" operator="containsText" text="Part Achieved">
      <formula>NOT(ISERROR(SEARCH("Part Achieved",BD15)))</formula>
    </cfRule>
    <cfRule type="containsText" dxfId="668" priority="191" operator="containsText" text="Achieved above target">
      <formula>NOT(ISERROR(SEARCH("Achieved above target",BD15)))</formula>
    </cfRule>
    <cfRule type="containsText" dxfId="667" priority="192" operator="containsText" text="Not achieved">
      <formula>NOT(ISERROR(SEARCH("Not achieved",BD15)))</formula>
    </cfRule>
    <cfRule type="containsText" dxfId="666" priority="193" operator="containsText" text="Not achieved">
      <formula>NOT(ISERROR(SEARCH("Not achieved",BD15)))</formula>
    </cfRule>
    <cfRule type="containsText" dxfId="665" priority="194" operator="containsText" text="Achieved">
      <formula>NOT(ISERROR(SEARCH("Achieved",BD15)))</formula>
    </cfRule>
  </conditionalFormatting>
  <conditionalFormatting sqref="BD16">
    <cfRule type="containsText" dxfId="664" priority="188" operator="containsText" text="Achieved ">
      <formula>NOT(ISERROR(SEARCH("Achieved ",BD16)))</formula>
    </cfRule>
    <cfRule type="containsText" dxfId="663" priority="189" operator="containsText" text="Achieved above target">
      <formula>NOT(ISERROR(SEARCH("Achieved above target",BD16)))</formula>
    </cfRule>
  </conditionalFormatting>
  <conditionalFormatting sqref="BD16">
    <cfRule type="containsText" dxfId="662" priority="183" operator="containsText" text="Part Achieved">
      <formula>NOT(ISERROR(SEARCH("Part Achieved",BD16)))</formula>
    </cfRule>
    <cfRule type="containsText" dxfId="661" priority="184" operator="containsText" text="Achieved above target">
      <formula>NOT(ISERROR(SEARCH("Achieved above target",BD16)))</formula>
    </cfRule>
    <cfRule type="containsText" dxfId="660" priority="185" operator="containsText" text="Not achieved">
      <formula>NOT(ISERROR(SEARCH("Not achieved",BD16)))</formula>
    </cfRule>
    <cfRule type="containsText" dxfId="659" priority="186" operator="containsText" text="Not achieved">
      <formula>NOT(ISERROR(SEARCH("Not achieved",BD16)))</formula>
    </cfRule>
    <cfRule type="containsText" dxfId="658" priority="187" operator="containsText" text="Achieved">
      <formula>NOT(ISERROR(SEARCH("Achieved",BD16)))</formula>
    </cfRule>
  </conditionalFormatting>
  <conditionalFormatting sqref="BD17">
    <cfRule type="containsText" dxfId="657" priority="181" operator="containsText" text="Achieved ">
      <formula>NOT(ISERROR(SEARCH("Achieved ",BD17)))</formula>
    </cfRule>
    <cfRule type="containsText" dxfId="656" priority="182" operator="containsText" text="Achieved above target">
      <formula>NOT(ISERROR(SEARCH("Achieved above target",BD17)))</formula>
    </cfRule>
  </conditionalFormatting>
  <conditionalFormatting sqref="BD17">
    <cfRule type="containsText" dxfId="655" priority="176" operator="containsText" text="Part Achieved">
      <formula>NOT(ISERROR(SEARCH("Part Achieved",BD17)))</formula>
    </cfRule>
    <cfRule type="containsText" dxfId="654" priority="177" operator="containsText" text="Achieved above target">
      <formula>NOT(ISERROR(SEARCH("Achieved above target",BD17)))</formula>
    </cfRule>
    <cfRule type="containsText" dxfId="653" priority="178" operator="containsText" text="Not achieved">
      <formula>NOT(ISERROR(SEARCH("Not achieved",BD17)))</formula>
    </cfRule>
    <cfRule type="containsText" dxfId="652" priority="179" operator="containsText" text="Not achieved">
      <formula>NOT(ISERROR(SEARCH("Not achieved",BD17)))</formula>
    </cfRule>
    <cfRule type="containsText" dxfId="651" priority="180" operator="containsText" text="Achieved">
      <formula>NOT(ISERROR(SEARCH("Achieved",BD17)))</formula>
    </cfRule>
  </conditionalFormatting>
  <conditionalFormatting sqref="BD20">
    <cfRule type="containsText" dxfId="650" priority="174" operator="containsText" text="Achieved ">
      <formula>NOT(ISERROR(SEARCH("Achieved ",BD20)))</formula>
    </cfRule>
    <cfRule type="containsText" dxfId="649" priority="175" operator="containsText" text="Achieved above target">
      <formula>NOT(ISERROR(SEARCH("Achieved above target",BD20)))</formula>
    </cfRule>
  </conditionalFormatting>
  <conditionalFormatting sqref="BD20">
    <cfRule type="containsText" dxfId="648" priority="169" operator="containsText" text="Part Achieved">
      <formula>NOT(ISERROR(SEARCH("Part Achieved",BD20)))</formula>
    </cfRule>
    <cfRule type="containsText" dxfId="647" priority="170" operator="containsText" text="Achieved above target">
      <formula>NOT(ISERROR(SEARCH("Achieved above target",BD20)))</formula>
    </cfRule>
    <cfRule type="containsText" dxfId="646" priority="171" operator="containsText" text="Not achieved">
      <formula>NOT(ISERROR(SEARCH("Not achieved",BD20)))</formula>
    </cfRule>
    <cfRule type="containsText" dxfId="645" priority="172" operator="containsText" text="Not achieved">
      <formula>NOT(ISERROR(SEARCH("Not achieved",BD20)))</formula>
    </cfRule>
    <cfRule type="containsText" dxfId="644" priority="173" operator="containsText" text="Achieved">
      <formula>NOT(ISERROR(SEARCH("Achieved",BD20)))</formula>
    </cfRule>
  </conditionalFormatting>
  <conditionalFormatting sqref="BD21">
    <cfRule type="containsText" dxfId="643" priority="167" operator="containsText" text="Achieved ">
      <formula>NOT(ISERROR(SEARCH("Achieved ",BD21)))</formula>
    </cfRule>
    <cfRule type="containsText" dxfId="642" priority="168" operator="containsText" text="Achieved above target">
      <formula>NOT(ISERROR(SEARCH("Achieved above target",BD21)))</formula>
    </cfRule>
  </conditionalFormatting>
  <conditionalFormatting sqref="BD21">
    <cfRule type="containsText" dxfId="641" priority="162" operator="containsText" text="Part Achieved">
      <formula>NOT(ISERROR(SEARCH("Part Achieved",BD21)))</formula>
    </cfRule>
    <cfRule type="containsText" dxfId="640" priority="163" operator="containsText" text="Achieved above target">
      <formula>NOT(ISERROR(SEARCH("Achieved above target",BD21)))</formula>
    </cfRule>
    <cfRule type="containsText" dxfId="639" priority="164" operator="containsText" text="Not achieved">
      <formula>NOT(ISERROR(SEARCH("Not achieved",BD21)))</formula>
    </cfRule>
    <cfRule type="containsText" dxfId="638" priority="165" operator="containsText" text="Not achieved">
      <formula>NOT(ISERROR(SEARCH("Not achieved",BD21)))</formula>
    </cfRule>
    <cfRule type="containsText" dxfId="637" priority="166" operator="containsText" text="Achieved">
      <formula>NOT(ISERROR(SEARCH("Achieved",BD21)))</formula>
    </cfRule>
  </conditionalFormatting>
  <conditionalFormatting sqref="BD23">
    <cfRule type="containsText" dxfId="636" priority="160" operator="containsText" text="Achieved ">
      <formula>NOT(ISERROR(SEARCH("Achieved ",BD23)))</formula>
    </cfRule>
    <cfRule type="containsText" dxfId="635" priority="161" operator="containsText" text="Achieved above target">
      <formula>NOT(ISERROR(SEARCH("Achieved above target",BD23)))</formula>
    </cfRule>
  </conditionalFormatting>
  <conditionalFormatting sqref="BD23">
    <cfRule type="containsText" dxfId="634" priority="155" operator="containsText" text="Part Achieved">
      <formula>NOT(ISERROR(SEARCH("Part Achieved",BD23)))</formula>
    </cfRule>
    <cfRule type="containsText" dxfId="633" priority="156" operator="containsText" text="Achieved above target">
      <formula>NOT(ISERROR(SEARCH("Achieved above target",BD23)))</formula>
    </cfRule>
    <cfRule type="containsText" dxfId="632" priority="157" operator="containsText" text="Not achieved">
      <formula>NOT(ISERROR(SEARCH("Not achieved",BD23)))</formula>
    </cfRule>
    <cfRule type="containsText" dxfId="631" priority="158" operator="containsText" text="Not achieved">
      <formula>NOT(ISERROR(SEARCH("Not achieved",BD23)))</formula>
    </cfRule>
    <cfRule type="containsText" dxfId="630" priority="159" operator="containsText" text="Achieved">
      <formula>NOT(ISERROR(SEARCH("Achieved",BD23)))</formula>
    </cfRule>
  </conditionalFormatting>
  <conditionalFormatting sqref="BD24">
    <cfRule type="containsText" dxfId="629" priority="153" operator="containsText" text="Achieved ">
      <formula>NOT(ISERROR(SEARCH("Achieved ",BD24)))</formula>
    </cfRule>
    <cfRule type="containsText" dxfId="628" priority="154" operator="containsText" text="Achieved above target">
      <formula>NOT(ISERROR(SEARCH("Achieved above target",BD24)))</formula>
    </cfRule>
  </conditionalFormatting>
  <conditionalFormatting sqref="BD24">
    <cfRule type="containsText" dxfId="627" priority="148" operator="containsText" text="Part Achieved">
      <formula>NOT(ISERROR(SEARCH("Part Achieved",BD24)))</formula>
    </cfRule>
    <cfRule type="containsText" dxfId="626" priority="149" operator="containsText" text="Achieved above target">
      <formula>NOT(ISERROR(SEARCH("Achieved above target",BD24)))</formula>
    </cfRule>
    <cfRule type="containsText" dxfId="625" priority="150" operator="containsText" text="Not achieved">
      <formula>NOT(ISERROR(SEARCH("Not achieved",BD24)))</formula>
    </cfRule>
    <cfRule type="containsText" dxfId="624" priority="151" operator="containsText" text="Not achieved">
      <formula>NOT(ISERROR(SEARCH("Not achieved",BD24)))</formula>
    </cfRule>
    <cfRule type="containsText" dxfId="623" priority="152" operator="containsText" text="Achieved">
      <formula>NOT(ISERROR(SEARCH("Achieved",BD24)))</formula>
    </cfRule>
  </conditionalFormatting>
  <conditionalFormatting sqref="BD25">
    <cfRule type="containsText" dxfId="622" priority="146" operator="containsText" text="Achieved ">
      <formula>NOT(ISERROR(SEARCH("Achieved ",BD25)))</formula>
    </cfRule>
    <cfRule type="containsText" dxfId="621" priority="147" operator="containsText" text="Achieved above target">
      <formula>NOT(ISERROR(SEARCH("Achieved above target",BD25)))</formula>
    </cfRule>
  </conditionalFormatting>
  <conditionalFormatting sqref="BD25">
    <cfRule type="containsText" dxfId="620" priority="141" operator="containsText" text="Part Achieved">
      <formula>NOT(ISERROR(SEARCH("Part Achieved",BD25)))</formula>
    </cfRule>
    <cfRule type="containsText" dxfId="619" priority="142" operator="containsText" text="Achieved above target">
      <formula>NOT(ISERROR(SEARCH("Achieved above target",BD25)))</formula>
    </cfRule>
    <cfRule type="containsText" dxfId="618" priority="143" operator="containsText" text="Not achieved">
      <formula>NOT(ISERROR(SEARCH("Not achieved",BD25)))</formula>
    </cfRule>
    <cfRule type="containsText" dxfId="617" priority="144" operator="containsText" text="Not achieved">
      <formula>NOT(ISERROR(SEARCH("Not achieved",BD25)))</formula>
    </cfRule>
    <cfRule type="containsText" dxfId="616" priority="145" operator="containsText" text="Achieved">
      <formula>NOT(ISERROR(SEARCH("Achieved",BD25)))</formula>
    </cfRule>
  </conditionalFormatting>
  <conditionalFormatting sqref="BD26">
    <cfRule type="containsText" dxfId="615" priority="139" operator="containsText" text="Achieved ">
      <formula>NOT(ISERROR(SEARCH("Achieved ",BD26)))</formula>
    </cfRule>
    <cfRule type="containsText" dxfId="614" priority="140" operator="containsText" text="Achieved above target">
      <formula>NOT(ISERROR(SEARCH("Achieved above target",BD26)))</formula>
    </cfRule>
  </conditionalFormatting>
  <conditionalFormatting sqref="BD26">
    <cfRule type="containsText" dxfId="613" priority="134" operator="containsText" text="Part Achieved">
      <formula>NOT(ISERROR(SEARCH("Part Achieved",BD26)))</formula>
    </cfRule>
    <cfRule type="containsText" dxfId="612" priority="135" operator="containsText" text="Achieved above target">
      <formula>NOT(ISERROR(SEARCH("Achieved above target",BD26)))</formula>
    </cfRule>
    <cfRule type="containsText" dxfId="611" priority="136" operator="containsText" text="Not achieved">
      <formula>NOT(ISERROR(SEARCH("Not achieved",BD26)))</formula>
    </cfRule>
    <cfRule type="containsText" dxfId="610" priority="137" operator="containsText" text="Not achieved">
      <formula>NOT(ISERROR(SEARCH("Not achieved",BD26)))</formula>
    </cfRule>
    <cfRule type="containsText" dxfId="609" priority="138" operator="containsText" text="Achieved">
      <formula>NOT(ISERROR(SEARCH("Achieved",BD26)))</formula>
    </cfRule>
  </conditionalFormatting>
  <conditionalFormatting sqref="BA4:BA5 BA12:BA23 BA26:BA29 BB27:BB28">
    <cfRule type="containsText" dxfId="608" priority="132" operator="containsText" text="Achieved ">
      <formula>NOT(ISERROR(SEARCH("Achieved ",BA4)))</formula>
    </cfRule>
    <cfRule type="containsText" dxfId="607" priority="133" operator="containsText" text="Achieved above target">
      <formula>NOT(ISERROR(SEARCH("Achieved above target",BA4)))</formula>
    </cfRule>
  </conditionalFormatting>
  <conditionalFormatting sqref="BA4:BA5 BA12:BA23 BA26:BA29 BB27:BB28">
    <cfRule type="containsText" dxfId="606" priority="127" operator="containsText" text="Part Achieved">
      <formula>NOT(ISERROR(SEARCH("Part Achieved",BA4)))</formula>
    </cfRule>
    <cfRule type="containsText" dxfId="605" priority="128" operator="containsText" text="Achieved above target">
      <formula>NOT(ISERROR(SEARCH("Achieved above target",BA4)))</formula>
    </cfRule>
    <cfRule type="containsText" dxfId="604" priority="129" operator="containsText" text="Not achieved">
      <formula>NOT(ISERROR(SEARCH("Not achieved",BA4)))</formula>
    </cfRule>
    <cfRule type="containsText" dxfId="603" priority="130" operator="containsText" text="Not achieved">
      <formula>NOT(ISERROR(SEARCH("Not achieved",BA4)))</formula>
    </cfRule>
    <cfRule type="containsText" dxfId="602" priority="131" operator="containsText" text="Achieved">
      <formula>NOT(ISERROR(SEARCH("Achieved",BA4)))</formula>
    </cfRule>
  </conditionalFormatting>
  <conditionalFormatting sqref="BA6:BB9">
    <cfRule type="containsText" dxfId="601" priority="125" operator="containsText" text="Achieved ">
      <formula>NOT(ISERROR(SEARCH("Achieved ",BA6)))</formula>
    </cfRule>
    <cfRule type="containsText" dxfId="600" priority="126" operator="containsText" text="Achieved above target">
      <formula>NOT(ISERROR(SEARCH("Achieved above target",BA6)))</formula>
    </cfRule>
  </conditionalFormatting>
  <conditionalFormatting sqref="BA6:BB9">
    <cfRule type="containsText" dxfId="599" priority="120" operator="containsText" text="Part Achieved">
      <formula>NOT(ISERROR(SEARCH("Part Achieved",BA6)))</formula>
    </cfRule>
    <cfRule type="containsText" dxfId="598" priority="121" operator="containsText" text="Achieved above target">
      <formula>NOT(ISERROR(SEARCH("Achieved above target",BA6)))</formula>
    </cfRule>
    <cfRule type="containsText" dxfId="597" priority="122" operator="containsText" text="Not achieved">
      <formula>NOT(ISERROR(SEARCH("Not achieved",BA6)))</formula>
    </cfRule>
    <cfRule type="containsText" dxfId="596" priority="123" operator="containsText" text="Not achieved">
      <formula>NOT(ISERROR(SEARCH("Not achieved",BA6)))</formula>
    </cfRule>
    <cfRule type="containsText" dxfId="595" priority="124" operator="containsText" text="Achieved">
      <formula>NOT(ISERROR(SEARCH("Achieved",BA6)))</formula>
    </cfRule>
  </conditionalFormatting>
  <conditionalFormatting sqref="BA10:BB10">
    <cfRule type="containsText" dxfId="594" priority="118" operator="containsText" text="Achieved ">
      <formula>NOT(ISERROR(SEARCH("Achieved ",BA10)))</formula>
    </cfRule>
    <cfRule type="containsText" dxfId="593" priority="119" operator="containsText" text="Achieved above target">
      <formula>NOT(ISERROR(SEARCH("Achieved above target",BA10)))</formula>
    </cfRule>
  </conditionalFormatting>
  <conditionalFormatting sqref="BA10:BB10">
    <cfRule type="containsText" dxfId="592" priority="113" operator="containsText" text="Part Achieved">
      <formula>NOT(ISERROR(SEARCH("Part Achieved",BA10)))</formula>
    </cfRule>
    <cfRule type="containsText" dxfId="591" priority="114" operator="containsText" text="Achieved above target">
      <formula>NOT(ISERROR(SEARCH("Achieved above target",BA10)))</formula>
    </cfRule>
    <cfRule type="containsText" dxfId="590" priority="115" operator="containsText" text="Not achieved">
      <formula>NOT(ISERROR(SEARCH("Not achieved",BA10)))</formula>
    </cfRule>
    <cfRule type="containsText" dxfId="589" priority="116" operator="containsText" text="Not achieved">
      <formula>NOT(ISERROR(SEARCH("Not achieved",BA10)))</formula>
    </cfRule>
    <cfRule type="containsText" dxfId="588" priority="117" operator="containsText" text="Achieved">
      <formula>NOT(ISERROR(SEARCH("Achieved",BA10)))</formula>
    </cfRule>
  </conditionalFormatting>
  <conditionalFormatting sqref="BA11:BB11">
    <cfRule type="containsText" dxfId="587" priority="111" operator="containsText" text="Achieved ">
      <formula>NOT(ISERROR(SEARCH("Achieved ",BA11)))</formula>
    </cfRule>
    <cfRule type="containsText" dxfId="586" priority="112" operator="containsText" text="Achieved above target">
      <formula>NOT(ISERROR(SEARCH("Achieved above target",BA11)))</formula>
    </cfRule>
  </conditionalFormatting>
  <conditionalFormatting sqref="BA11:BB11">
    <cfRule type="containsText" dxfId="585" priority="106" operator="containsText" text="Part Achieved">
      <formula>NOT(ISERROR(SEARCH("Part Achieved",BA11)))</formula>
    </cfRule>
    <cfRule type="containsText" dxfId="584" priority="107" operator="containsText" text="Achieved above target">
      <formula>NOT(ISERROR(SEARCH("Achieved above target",BA11)))</formula>
    </cfRule>
    <cfRule type="containsText" dxfId="583" priority="108" operator="containsText" text="Not achieved">
      <formula>NOT(ISERROR(SEARCH("Not achieved",BA11)))</formula>
    </cfRule>
    <cfRule type="containsText" dxfId="582" priority="109" operator="containsText" text="Not achieved">
      <formula>NOT(ISERROR(SEARCH("Not achieved",BA11)))</formula>
    </cfRule>
    <cfRule type="containsText" dxfId="581" priority="110" operator="containsText" text="Achieved">
      <formula>NOT(ISERROR(SEARCH("Achieved",BA11)))</formula>
    </cfRule>
  </conditionalFormatting>
  <conditionalFormatting sqref="BE12">
    <cfRule type="containsText" dxfId="580" priority="104" operator="containsText" text="Achieved ">
      <formula>NOT(ISERROR(SEARCH("Achieved ",BE12)))</formula>
    </cfRule>
    <cfRule type="containsText" dxfId="579" priority="105" operator="containsText" text="Achieved above target">
      <formula>NOT(ISERROR(SEARCH("Achieved above target",BE12)))</formula>
    </cfRule>
  </conditionalFormatting>
  <conditionalFormatting sqref="BE12">
    <cfRule type="containsText" dxfId="578" priority="99" operator="containsText" text="Part Achieved">
      <formula>NOT(ISERROR(SEARCH("Part Achieved",BE12)))</formula>
    </cfRule>
    <cfRule type="containsText" dxfId="577" priority="100" operator="containsText" text="Achieved above target">
      <formula>NOT(ISERROR(SEARCH("Achieved above target",BE12)))</formula>
    </cfRule>
    <cfRule type="containsText" dxfId="576" priority="101" operator="containsText" text="Not achieved">
      <formula>NOT(ISERROR(SEARCH("Not achieved",BE12)))</formula>
    </cfRule>
    <cfRule type="containsText" dxfId="575" priority="102" operator="containsText" text="Not achieved">
      <formula>NOT(ISERROR(SEARCH("Not achieved",BE12)))</formula>
    </cfRule>
    <cfRule type="containsText" dxfId="574" priority="103" operator="containsText" text="Achieved">
      <formula>NOT(ISERROR(SEARCH("Achieved",BE12)))</formula>
    </cfRule>
  </conditionalFormatting>
  <conditionalFormatting sqref="BF13">
    <cfRule type="containsText" dxfId="573" priority="97" operator="containsText" text="Achieved ">
      <formula>NOT(ISERROR(SEARCH("Achieved ",BF13)))</formula>
    </cfRule>
    <cfRule type="containsText" dxfId="572" priority="98" operator="containsText" text="Achieved above target">
      <formula>NOT(ISERROR(SEARCH("Achieved above target",BF13)))</formula>
    </cfRule>
  </conditionalFormatting>
  <conditionalFormatting sqref="BF13">
    <cfRule type="containsText" dxfId="571" priority="92" operator="containsText" text="Part Achieved">
      <formula>NOT(ISERROR(SEARCH("Part Achieved",BF13)))</formula>
    </cfRule>
    <cfRule type="containsText" dxfId="570" priority="93" operator="containsText" text="Achieved above target">
      <formula>NOT(ISERROR(SEARCH("Achieved above target",BF13)))</formula>
    </cfRule>
    <cfRule type="containsText" dxfId="569" priority="94" operator="containsText" text="Not achieved">
      <formula>NOT(ISERROR(SEARCH("Not achieved",BF13)))</formula>
    </cfRule>
    <cfRule type="containsText" dxfId="568" priority="95" operator="containsText" text="Not achieved">
      <formula>NOT(ISERROR(SEARCH("Not achieved",BF13)))</formula>
    </cfRule>
    <cfRule type="containsText" dxfId="567" priority="96" operator="containsText" text="Achieved">
      <formula>NOT(ISERROR(SEARCH("Achieved",BF13)))</formula>
    </cfRule>
  </conditionalFormatting>
  <conditionalFormatting sqref="BB16:BB17">
    <cfRule type="containsText" dxfId="566" priority="90" operator="containsText" text="Achieved ">
      <formula>NOT(ISERROR(SEARCH("Achieved ",BB16)))</formula>
    </cfRule>
    <cfRule type="containsText" dxfId="565" priority="91" operator="containsText" text="Achieved above target">
      <formula>NOT(ISERROR(SEARCH("Achieved above target",BB16)))</formula>
    </cfRule>
  </conditionalFormatting>
  <conditionalFormatting sqref="BB16:BB17">
    <cfRule type="containsText" dxfId="564" priority="85" operator="containsText" text="Part Achieved">
      <formula>NOT(ISERROR(SEARCH("Part Achieved",BB16)))</formula>
    </cfRule>
    <cfRule type="containsText" dxfId="563" priority="86" operator="containsText" text="Achieved above target">
      <formula>NOT(ISERROR(SEARCH("Achieved above target",BB16)))</formula>
    </cfRule>
    <cfRule type="containsText" dxfId="562" priority="87" operator="containsText" text="Not achieved">
      <formula>NOT(ISERROR(SEARCH("Not achieved",BB16)))</formula>
    </cfRule>
    <cfRule type="containsText" dxfId="561" priority="88" operator="containsText" text="Not achieved">
      <formula>NOT(ISERROR(SEARCH("Not achieved",BB16)))</formula>
    </cfRule>
    <cfRule type="containsText" dxfId="560" priority="89" operator="containsText" text="Achieved">
      <formula>NOT(ISERROR(SEARCH("Achieved",BB16)))</formula>
    </cfRule>
  </conditionalFormatting>
  <conditionalFormatting sqref="BE16:BF16">
    <cfRule type="containsText" dxfId="559" priority="83" operator="containsText" text="Achieved ">
      <formula>NOT(ISERROR(SEARCH("Achieved ",BE16)))</formula>
    </cfRule>
    <cfRule type="containsText" dxfId="558" priority="84" operator="containsText" text="Achieved above target">
      <formula>NOT(ISERROR(SEARCH("Achieved above target",BE16)))</formula>
    </cfRule>
  </conditionalFormatting>
  <conditionalFormatting sqref="BE16:BF16">
    <cfRule type="containsText" dxfId="557" priority="78" operator="containsText" text="Part Achieved">
      <formula>NOT(ISERROR(SEARCH("Part Achieved",BE16)))</formula>
    </cfRule>
    <cfRule type="containsText" dxfId="556" priority="79" operator="containsText" text="Achieved above target">
      <formula>NOT(ISERROR(SEARCH("Achieved above target",BE16)))</formula>
    </cfRule>
    <cfRule type="containsText" dxfId="555" priority="80" operator="containsText" text="Not achieved">
      <formula>NOT(ISERROR(SEARCH("Not achieved",BE16)))</formula>
    </cfRule>
    <cfRule type="containsText" dxfId="554" priority="81" operator="containsText" text="Not achieved">
      <formula>NOT(ISERROR(SEARCH("Not achieved",BE16)))</formula>
    </cfRule>
    <cfRule type="containsText" dxfId="553" priority="82" operator="containsText" text="Achieved">
      <formula>NOT(ISERROR(SEARCH("Achieved",BE16)))</formula>
    </cfRule>
  </conditionalFormatting>
  <conditionalFormatting sqref="BE17:BF17">
    <cfRule type="containsText" dxfId="552" priority="76" operator="containsText" text="Achieved ">
      <formula>NOT(ISERROR(SEARCH("Achieved ",BE17)))</formula>
    </cfRule>
    <cfRule type="containsText" dxfId="551" priority="77" operator="containsText" text="Achieved above target">
      <formula>NOT(ISERROR(SEARCH("Achieved above target",BE17)))</formula>
    </cfRule>
  </conditionalFormatting>
  <conditionalFormatting sqref="BE17:BF17">
    <cfRule type="containsText" dxfId="550" priority="71" operator="containsText" text="Part Achieved">
      <formula>NOT(ISERROR(SEARCH("Part Achieved",BE17)))</formula>
    </cfRule>
    <cfRule type="containsText" dxfId="549" priority="72" operator="containsText" text="Achieved above target">
      <formula>NOT(ISERROR(SEARCH("Achieved above target",BE17)))</formula>
    </cfRule>
    <cfRule type="containsText" dxfId="548" priority="73" operator="containsText" text="Not achieved">
      <formula>NOT(ISERROR(SEARCH("Not achieved",BE17)))</formula>
    </cfRule>
    <cfRule type="containsText" dxfId="547" priority="74" operator="containsText" text="Not achieved">
      <formula>NOT(ISERROR(SEARCH("Not achieved",BE17)))</formula>
    </cfRule>
    <cfRule type="containsText" dxfId="546" priority="75" operator="containsText" text="Achieved">
      <formula>NOT(ISERROR(SEARCH("Achieved",BE17)))</formula>
    </cfRule>
  </conditionalFormatting>
  <conditionalFormatting sqref="BE18">
    <cfRule type="containsText" dxfId="545" priority="69" operator="containsText" text="Achieved ">
      <formula>NOT(ISERROR(SEARCH("Achieved ",BE18)))</formula>
    </cfRule>
    <cfRule type="containsText" dxfId="544" priority="70" operator="containsText" text="Achieved above target">
      <formula>NOT(ISERROR(SEARCH("Achieved above target",BE18)))</formula>
    </cfRule>
  </conditionalFormatting>
  <conditionalFormatting sqref="BE18">
    <cfRule type="containsText" dxfId="543" priority="64" operator="containsText" text="Part Achieved">
      <formula>NOT(ISERROR(SEARCH("Part Achieved",BE18)))</formula>
    </cfRule>
    <cfRule type="containsText" dxfId="542" priority="65" operator="containsText" text="Achieved above target">
      <formula>NOT(ISERROR(SEARCH("Achieved above target",BE18)))</formula>
    </cfRule>
    <cfRule type="containsText" dxfId="541" priority="66" operator="containsText" text="Not achieved">
      <formula>NOT(ISERROR(SEARCH("Not achieved",BE18)))</formula>
    </cfRule>
    <cfRule type="containsText" dxfId="540" priority="67" operator="containsText" text="Not achieved">
      <formula>NOT(ISERROR(SEARCH("Not achieved",BE18)))</formula>
    </cfRule>
    <cfRule type="containsText" dxfId="539" priority="68" operator="containsText" text="Achieved">
      <formula>NOT(ISERROR(SEARCH("Achieved",BE18)))</formula>
    </cfRule>
  </conditionalFormatting>
  <conditionalFormatting sqref="BE19">
    <cfRule type="containsText" dxfId="538" priority="62" operator="containsText" text="Achieved ">
      <formula>NOT(ISERROR(SEARCH("Achieved ",BE19)))</formula>
    </cfRule>
    <cfRule type="containsText" dxfId="537" priority="63" operator="containsText" text="Achieved above target">
      <formula>NOT(ISERROR(SEARCH("Achieved above target",BE19)))</formula>
    </cfRule>
  </conditionalFormatting>
  <conditionalFormatting sqref="BE19">
    <cfRule type="containsText" dxfId="536" priority="57" operator="containsText" text="Part Achieved">
      <formula>NOT(ISERROR(SEARCH("Part Achieved",BE19)))</formula>
    </cfRule>
    <cfRule type="containsText" dxfId="535" priority="58" operator="containsText" text="Achieved above target">
      <formula>NOT(ISERROR(SEARCH("Achieved above target",BE19)))</formula>
    </cfRule>
    <cfRule type="containsText" dxfId="534" priority="59" operator="containsText" text="Not achieved">
      <formula>NOT(ISERROR(SEARCH("Not achieved",BE19)))</formula>
    </cfRule>
    <cfRule type="containsText" dxfId="533" priority="60" operator="containsText" text="Not achieved">
      <formula>NOT(ISERROR(SEARCH("Not achieved",BE19)))</formula>
    </cfRule>
    <cfRule type="containsText" dxfId="532" priority="61" operator="containsText" text="Achieved">
      <formula>NOT(ISERROR(SEARCH("Achieved",BE19)))</formula>
    </cfRule>
  </conditionalFormatting>
  <conditionalFormatting sqref="BB20:BB21">
    <cfRule type="containsText" dxfId="531" priority="55" operator="containsText" text="Achieved ">
      <formula>NOT(ISERROR(SEARCH("Achieved ",BB20)))</formula>
    </cfRule>
    <cfRule type="containsText" dxfId="530" priority="56" operator="containsText" text="Achieved above target">
      <formula>NOT(ISERROR(SEARCH("Achieved above target",BB20)))</formula>
    </cfRule>
  </conditionalFormatting>
  <conditionalFormatting sqref="BB20:BB21">
    <cfRule type="containsText" dxfId="529" priority="50" operator="containsText" text="Part Achieved">
      <formula>NOT(ISERROR(SEARCH("Part Achieved",BB20)))</formula>
    </cfRule>
    <cfRule type="containsText" dxfId="528" priority="51" operator="containsText" text="Achieved above target">
      <formula>NOT(ISERROR(SEARCH("Achieved above target",BB20)))</formula>
    </cfRule>
    <cfRule type="containsText" dxfId="527" priority="52" operator="containsText" text="Not achieved">
      <formula>NOT(ISERROR(SEARCH("Not achieved",BB20)))</formula>
    </cfRule>
    <cfRule type="containsText" dxfId="526" priority="53" operator="containsText" text="Not achieved">
      <formula>NOT(ISERROR(SEARCH("Not achieved",BB20)))</formula>
    </cfRule>
    <cfRule type="containsText" dxfId="525" priority="54" operator="containsText" text="Achieved">
      <formula>NOT(ISERROR(SEARCH("Achieved",BB20)))</formula>
    </cfRule>
  </conditionalFormatting>
  <conditionalFormatting sqref="BE20:BF20">
    <cfRule type="containsText" dxfId="524" priority="48" operator="containsText" text="Achieved ">
      <formula>NOT(ISERROR(SEARCH("Achieved ",BE20)))</formula>
    </cfRule>
    <cfRule type="containsText" dxfId="523" priority="49" operator="containsText" text="Achieved above target">
      <formula>NOT(ISERROR(SEARCH("Achieved above target",BE20)))</formula>
    </cfRule>
  </conditionalFormatting>
  <conditionalFormatting sqref="BE20:BF20">
    <cfRule type="containsText" dxfId="522" priority="43" operator="containsText" text="Part Achieved">
      <formula>NOT(ISERROR(SEARCH("Part Achieved",BE20)))</formula>
    </cfRule>
    <cfRule type="containsText" dxfId="521" priority="44" operator="containsText" text="Achieved above target">
      <formula>NOT(ISERROR(SEARCH("Achieved above target",BE20)))</formula>
    </cfRule>
    <cfRule type="containsText" dxfId="520" priority="45" operator="containsText" text="Not achieved">
      <formula>NOT(ISERROR(SEARCH("Not achieved",BE20)))</formula>
    </cfRule>
    <cfRule type="containsText" dxfId="519" priority="46" operator="containsText" text="Not achieved">
      <formula>NOT(ISERROR(SEARCH("Not achieved",BE20)))</formula>
    </cfRule>
    <cfRule type="containsText" dxfId="518" priority="47" operator="containsText" text="Achieved">
      <formula>NOT(ISERROR(SEARCH("Achieved",BE20)))</formula>
    </cfRule>
  </conditionalFormatting>
  <conditionalFormatting sqref="BE21:BF21">
    <cfRule type="containsText" dxfId="517" priority="41" operator="containsText" text="Achieved ">
      <formula>NOT(ISERROR(SEARCH("Achieved ",BE21)))</formula>
    </cfRule>
    <cfRule type="containsText" dxfId="516" priority="42" operator="containsText" text="Achieved above target">
      <formula>NOT(ISERROR(SEARCH("Achieved above target",BE21)))</formula>
    </cfRule>
  </conditionalFormatting>
  <conditionalFormatting sqref="BE21:BF21">
    <cfRule type="containsText" dxfId="515" priority="36" operator="containsText" text="Part Achieved">
      <formula>NOT(ISERROR(SEARCH("Part Achieved",BE21)))</formula>
    </cfRule>
    <cfRule type="containsText" dxfId="514" priority="37" operator="containsText" text="Achieved above target">
      <formula>NOT(ISERROR(SEARCH("Achieved above target",BE21)))</formula>
    </cfRule>
    <cfRule type="containsText" dxfId="513" priority="38" operator="containsText" text="Not achieved">
      <formula>NOT(ISERROR(SEARCH("Not achieved",BE21)))</formula>
    </cfRule>
    <cfRule type="containsText" dxfId="512" priority="39" operator="containsText" text="Not achieved">
      <formula>NOT(ISERROR(SEARCH("Not achieved",BE21)))</formula>
    </cfRule>
    <cfRule type="containsText" dxfId="511" priority="40" operator="containsText" text="Achieved">
      <formula>NOT(ISERROR(SEARCH("Achieved",BE21)))</formula>
    </cfRule>
  </conditionalFormatting>
  <conditionalFormatting sqref="BE23">
    <cfRule type="containsText" dxfId="510" priority="34" operator="containsText" text="Achieved ">
      <formula>NOT(ISERROR(SEARCH("Achieved ",BE23)))</formula>
    </cfRule>
    <cfRule type="containsText" dxfId="509" priority="35" operator="containsText" text="Achieved above target">
      <formula>NOT(ISERROR(SEARCH("Achieved above target",BE23)))</formula>
    </cfRule>
  </conditionalFormatting>
  <conditionalFormatting sqref="BE23">
    <cfRule type="containsText" dxfId="508" priority="29" operator="containsText" text="Part Achieved">
      <formula>NOT(ISERROR(SEARCH("Part Achieved",BE23)))</formula>
    </cfRule>
    <cfRule type="containsText" dxfId="507" priority="30" operator="containsText" text="Achieved above target">
      <formula>NOT(ISERROR(SEARCH("Achieved above target",BE23)))</formula>
    </cfRule>
    <cfRule type="containsText" dxfId="506" priority="31" operator="containsText" text="Not achieved">
      <formula>NOT(ISERROR(SEARCH("Not achieved",BE23)))</formula>
    </cfRule>
    <cfRule type="containsText" dxfId="505" priority="32" operator="containsText" text="Not achieved">
      <formula>NOT(ISERROR(SEARCH("Not achieved",BE23)))</formula>
    </cfRule>
    <cfRule type="containsText" dxfId="504" priority="33" operator="containsText" text="Achieved">
      <formula>NOT(ISERROR(SEARCH("Achieved",BE23)))</formula>
    </cfRule>
  </conditionalFormatting>
  <conditionalFormatting sqref="BE26">
    <cfRule type="containsText" dxfId="503" priority="27" operator="containsText" text="Achieved ">
      <formula>NOT(ISERROR(SEARCH("Achieved ",BE26)))</formula>
    </cfRule>
    <cfRule type="containsText" dxfId="502" priority="28" operator="containsText" text="Achieved above target">
      <formula>NOT(ISERROR(SEARCH("Achieved above target",BE26)))</formula>
    </cfRule>
  </conditionalFormatting>
  <conditionalFormatting sqref="BE26">
    <cfRule type="containsText" dxfId="501" priority="22" operator="containsText" text="Part Achieved">
      <formula>NOT(ISERROR(SEARCH("Part Achieved",BE26)))</formula>
    </cfRule>
    <cfRule type="containsText" dxfId="500" priority="23" operator="containsText" text="Achieved above target">
      <formula>NOT(ISERROR(SEARCH("Achieved above target",BE26)))</formula>
    </cfRule>
    <cfRule type="containsText" dxfId="499" priority="24" operator="containsText" text="Not achieved">
      <formula>NOT(ISERROR(SEARCH("Not achieved",BE26)))</formula>
    </cfRule>
    <cfRule type="containsText" dxfId="498" priority="25" operator="containsText" text="Not achieved">
      <formula>NOT(ISERROR(SEARCH("Not achieved",BE26)))</formula>
    </cfRule>
    <cfRule type="containsText" dxfId="497" priority="26" operator="containsText" text="Achieved">
      <formula>NOT(ISERROR(SEARCH("Achieved",BE26)))</formula>
    </cfRule>
  </conditionalFormatting>
  <conditionalFormatting sqref="BE27:BF28">
    <cfRule type="containsText" dxfId="496" priority="20" operator="containsText" text="Achieved ">
      <formula>NOT(ISERROR(SEARCH("Achieved ",BE27)))</formula>
    </cfRule>
    <cfRule type="containsText" dxfId="495" priority="21" operator="containsText" text="Achieved above target">
      <formula>NOT(ISERROR(SEARCH("Achieved above target",BE27)))</formula>
    </cfRule>
  </conditionalFormatting>
  <conditionalFormatting sqref="BE27:BF28">
    <cfRule type="containsText" dxfId="494" priority="15" operator="containsText" text="Part Achieved">
      <formula>NOT(ISERROR(SEARCH("Part Achieved",BE27)))</formula>
    </cfRule>
    <cfRule type="containsText" dxfId="493" priority="16" operator="containsText" text="Achieved above target">
      <formula>NOT(ISERROR(SEARCH("Achieved above target",BE27)))</formula>
    </cfRule>
    <cfRule type="containsText" dxfId="492" priority="17" operator="containsText" text="Not achieved">
      <formula>NOT(ISERROR(SEARCH("Not achieved",BE27)))</formula>
    </cfRule>
    <cfRule type="containsText" dxfId="491" priority="18" operator="containsText" text="Not achieved">
      <formula>NOT(ISERROR(SEARCH("Not achieved",BE27)))</formula>
    </cfRule>
    <cfRule type="containsText" dxfId="490" priority="19" operator="containsText" text="Achieved">
      <formula>NOT(ISERROR(SEARCH("Achieved",BE27)))</formula>
    </cfRule>
  </conditionalFormatting>
  <conditionalFormatting sqref="BD22">
    <cfRule type="containsText" dxfId="489" priority="13" operator="containsText" text="Achieved ">
      <formula>NOT(ISERROR(SEARCH("Achieved ",BD22)))</formula>
    </cfRule>
    <cfRule type="containsText" dxfId="488" priority="14" operator="containsText" text="Achieved above target">
      <formula>NOT(ISERROR(SEARCH("Achieved above target",BD22)))</formula>
    </cfRule>
  </conditionalFormatting>
  <conditionalFormatting sqref="BD22">
    <cfRule type="containsText" dxfId="487" priority="8" operator="containsText" text="Part Achieved">
      <formula>NOT(ISERROR(SEARCH("Part Achieved",BD22)))</formula>
    </cfRule>
    <cfRule type="containsText" dxfId="486" priority="9" operator="containsText" text="Achieved above target">
      <formula>NOT(ISERROR(SEARCH("Achieved above target",BD22)))</formula>
    </cfRule>
    <cfRule type="containsText" dxfId="485" priority="10" operator="containsText" text="Not achieved">
      <formula>NOT(ISERROR(SEARCH("Not achieved",BD22)))</formula>
    </cfRule>
    <cfRule type="containsText" dxfId="484" priority="11" operator="containsText" text="Not achieved">
      <formula>NOT(ISERROR(SEARCH("Not achieved",BD22)))</formula>
    </cfRule>
    <cfRule type="containsText" dxfId="483" priority="12" operator="containsText" text="Achieved">
      <formula>NOT(ISERROR(SEARCH("Achieved",BD22)))</formula>
    </cfRule>
  </conditionalFormatting>
  <conditionalFormatting sqref="BE22">
    <cfRule type="containsText" dxfId="482" priority="6" operator="containsText" text="Achieved ">
      <formula>NOT(ISERROR(SEARCH("Achieved ",BE22)))</formula>
    </cfRule>
    <cfRule type="containsText" dxfId="481" priority="7" operator="containsText" text="Achieved above target">
      <formula>NOT(ISERROR(SEARCH("Achieved above target",BE22)))</formula>
    </cfRule>
  </conditionalFormatting>
  <conditionalFormatting sqref="BE22">
    <cfRule type="containsText" dxfId="480" priority="1" operator="containsText" text="Part Achieved">
      <formula>NOT(ISERROR(SEARCH("Part Achieved",BE22)))</formula>
    </cfRule>
    <cfRule type="containsText" dxfId="479" priority="2" operator="containsText" text="Achieved above target">
      <formula>NOT(ISERROR(SEARCH("Achieved above target",BE22)))</formula>
    </cfRule>
    <cfRule type="containsText" dxfId="478" priority="3" operator="containsText" text="Not achieved">
      <formula>NOT(ISERROR(SEARCH("Not achieved",BE22)))</formula>
    </cfRule>
    <cfRule type="containsText" dxfId="477" priority="4" operator="containsText" text="Not achieved">
      <formula>NOT(ISERROR(SEARCH("Not achieved",BE22)))</formula>
    </cfRule>
    <cfRule type="containsText" dxfId="476" priority="5" operator="containsText" text="Achieved">
      <formula>NOT(ISERROR(SEARCH("Achieved",BE22)))</formula>
    </cfRule>
  </conditionalFormatting>
  <pageMargins left="0.70866141732283472" right="0.70866141732283472" top="0.74803149606299213" bottom="0.74803149606299213" header="0.31496062992125984" footer="0.31496062992125984"/>
  <pageSetup paperSize="8" scale="35" fitToHeight="2" orientation="landscape" r:id="rId1"/>
  <headerFooter>
    <oddFooter>&amp;F</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FD427-9A1A-46E7-9723-EC8C4DA2907A}">
  <sheetPr>
    <tabColor rgb="FF00B0F0"/>
    <pageSetUpPr fitToPage="1"/>
  </sheetPr>
  <dimension ref="A1:BF8"/>
  <sheetViews>
    <sheetView topLeftCell="Y6" zoomScale="75" zoomScaleNormal="75" workbookViewId="0">
      <selection activeCell="AM7" sqref="AM7"/>
    </sheetView>
  </sheetViews>
  <sheetFormatPr defaultColWidth="9.140625" defaultRowHeight="12" x14ac:dyDescent="0.2"/>
  <cols>
    <col min="1" max="1" width="11.85546875" style="21" customWidth="1"/>
    <col min="2" max="2" width="11.7109375" style="21" customWidth="1"/>
    <col min="3" max="3" width="4.42578125" style="21" customWidth="1"/>
    <col min="4" max="4" width="14.5703125" style="21" customWidth="1"/>
    <col min="5" max="5" width="13.7109375" style="21" customWidth="1"/>
    <col min="6" max="6" width="13.85546875" style="21" customWidth="1"/>
    <col min="7" max="8" width="9.140625" style="21" customWidth="1"/>
    <col min="9" max="9" width="12" style="21" customWidth="1"/>
    <col min="10" max="11" width="8" style="21" hidden="1" customWidth="1"/>
    <col min="12" max="12" width="6.85546875" style="37" customWidth="1"/>
    <col min="13" max="13" width="16.7109375" style="37" customWidth="1"/>
    <col min="14" max="14" width="12.42578125" style="21" customWidth="1"/>
    <col min="15" max="15" width="10.85546875" style="21" customWidth="1"/>
    <col min="16" max="16" width="10.7109375" style="21" customWidth="1"/>
    <col min="17" max="17" width="10.140625" style="21" customWidth="1"/>
    <col min="18" max="21" width="14.5703125" style="655" customWidth="1"/>
    <col min="22" max="22" width="14.28515625" style="24" hidden="1" customWidth="1"/>
    <col min="23" max="23" width="15.7109375" style="24" customWidth="1"/>
    <col min="24" max="24" width="11.5703125" style="21" customWidth="1"/>
    <col min="25" max="25" width="13.7109375" style="21" customWidth="1"/>
    <col min="26" max="26" width="14.42578125" style="21" customWidth="1"/>
    <col min="27" max="27" width="20.7109375" style="21" customWidth="1"/>
    <col min="28" max="28" width="6.7109375" style="21" customWidth="1"/>
    <col min="29" max="29" width="15.28515625" style="21" customWidth="1"/>
    <col min="30" max="30" width="20.7109375" style="21" customWidth="1"/>
    <col min="31" max="31" width="6.7109375" style="21" customWidth="1"/>
    <col min="32" max="32" width="14.28515625" style="21" customWidth="1"/>
    <col min="33" max="33" width="15.7109375" style="21" customWidth="1"/>
    <col min="34" max="34" width="6.7109375" style="21" customWidth="1"/>
    <col min="35" max="35" width="14.140625" style="21" customWidth="1"/>
    <col min="36" max="36" width="15.7109375" style="21" customWidth="1"/>
    <col min="37" max="37" width="6.7109375" style="34" customWidth="1"/>
    <col min="38" max="38" width="15.7109375" style="21" customWidth="1"/>
    <col min="39" max="39" width="6.7109375" style="21" customWidth="1"/>
    <col min="40" max="40" width="17.140625" style="21" customWidth="1"/>
    <col min="41" max="43" width="15.7109375" style="21" customWidth="1"/>
    <col min="44" max="44" width="14.42578125" style="21" customWidth="1"/>
    <col min="45" max="45" width="9.28515625" style="21" customWidth="1"/>
    <col min="46" max="46" width="15.7109375" style="21" customWidth="1"/>
    <col min="47" max="50" width="9.140625" style="21" hidden="1" customWidth="1"/>
    <col min="51" max="51" width="10.5703125" style="21" hidden="1" customWidth="1"/>
    <col min="52" max="52" width="32.5703125" style="21" hidden="1" customWidth="1"/>
    <col min="53" max="54" width="17.5703125" style="21" hidden="1" customWidth="1"/>
    <col min="55" max="55" width="15.7109375" style="21" customWidth="1"/>
    <col min="56" max="56" width="37.5703125" style="21" hidden="1" customWidth="1"/>
    <col min="57" max="57" width="17.5703125" style="21" hidden="1" customWidth="1"/>
    <col min="58" max="58" width="25.28515625" style="21" hidden="1" customWidth="1"/>
    <col min="59" max="59" width="0" style="21" hidden="1" customWidth="1"/>
    <col min="60" max="16384" width="9.140625" style="21"/>
  </cols>
  <sheetData>
    <row r="1" spans="1:58" s="23" customFormat="1" ht="22.5" customHeight="1" thickBot="1" x14ac:dyDescent="0.3">
      <c r="A1" s="765" t="s">
        <v>95</v>
      </c>
      <c r="B1" s="766"/>
      <c r="C1" s="766"/>
      <c r="D1" s="766"/>
      <c r="E1" s="766"/>
      <c r="F1" s="766"/>
      <c r="G1" s="766"/>
      <c r="H1" s="766"/>
      <c r="I1" s="766"/>
      <c r="J1" s="766"/>
      <c r="K1" s="766"/>
      <c r="L1" s="214" t="s">
        <v>133</v>
      </c>
      <c r="M1" s="499"/>
      <c r="N1" s="214"/>
      <c r="O1" s="214"/>
      <c r="P1" s="214"/>
      <c r="Q1" s="214"/>
      <c r="R1" s="514"/>
      <c r="S1" s="514"/>
      <c r="T1" s="514"/>
      <c r="U1" s="514"/>
      <c r="V1" s="214"/>
      <c r="W1" s="214"/>
      <c r="X1" s="214"/>
      <c r="Y1" s="26"/>
      <c r="Z1" s="60"/>
      <c r="AA1" s="60"/>
      <c r="AB1" s="60"/>
      <c r="AC1" s="60"/>
      <c r="AD1" s="60"/>
      <c r="AE1" s="60"/>
      <c r="AF1" s="60"/>
      <c r="AG1" s="60"/>
      <c r="AH1" s="60"/>
      <c r="AI1" s="60"/>
      <c r="AJ1" s="60"/>
      <c r="AK1" s="447"/>
      <c r="AL1" s="60"/>
      <c r="AM1" s="60"/>
      <c r="AN1" s="60"/>
      <c r="AO1" s="60"/>
      <c r="AP1" s="60"/>
      <c r="AQ1" s="60"/>
      <c r="AR1" s="60"/>
      <c r="AS1" s="60"/>
      <c r="AT1" s="60"/>
    </row>
    <row r="2" spans="1:58" s="23" customFormat="1" ht="25.5" customHeight="1" x14ac:dyDescent="0.25">
      <c r="A2" s="767" t="s">
        <v>6</v>
      </c>
      <c r="B2" s="768" t="s">
        <v>92</v>
      </c>
      <c r="C2" s="769" t="s">
        <v>7</v>
      </c>
      <c r="D2" s="770"/>
      <c r="E2" s="768" t="s">
        <v>94</v>
      </c>
      <c r="F2" s="768" t="s">
        <v>93</v>
      </c>
      <c r="G2" s="768" t="s">
        <v>8</v>
      </c>
      <c r="H2" s="208" t="s">
        <v>183</v>
      </c>
      <c r="I2" s="768" t="s">
        <v>9</v>
      </c>
      <c r="J2" s="769" t="s">
        <v>10</v>
      </c>
      <c r="K2" s="770"/>
      <c r="L2" s="886" t="s">
        <v>96</v>
      </c>
      <c r="M2" s="887"/>
      <c r="N2" s="890" t="s">
        <v>97</v>
      </c>
      <c r="O2" s="872" t="s">
        <v>11</v>
      </c>
      <c r="P2" s="872" t="s">
        <v>12</v>
      </c>
      <c r="Q2" s="872" t="s">
        <v>275</v>
      </c>
      <c r="R2" s="873" t="s">
        <v>13</v>
      </c>
      <c r="S2" s="873" t="s">
        <v>100</v>
      </c>
      <c r="T2" s="873" t="s">
        <v>99</v>
      </c>
      <c r="U2" s="873" t="s">
        <v>101</v>
      </c>
      <c r="V2" s="883" t="s">
        <v>98</v>
      </c>
      <c r="W2" s="884"/>
      <c r="X2" s="885"/>
      <c r="Y2" s="883" t="s">
        <v>102</v>
      </c>
      <c r="Z2" s="834" t="s">
        <v>309</v>
      </c>
      <c r="AA2" s="835"/>
      <c r="AB2" s="875"/>
      <c r="AC2" s="834" t="s">
        <v>312</v>
      </c>
      <c r="AD2" s="835"/>
      <c r="AE2" s="836"/>
      <c r="AF2" s="874" t="s">
        <v>313</v>
      </c>
      <c r="AG2" s="835"/>
      <c r="AH2" s="875"/>
      <c r="AI2" s="874" t="s">
        <v>566</v>
      </c>
      <c r="AJ2" s="835"/>
      <c r="AK2" s="875"/>
      <c r="AL2" s="876" t="s">
        <v>567</v>
      </c>
      <c r="AM2" s="877"/>
      <c r="AN2" s="877"/>
      <c r="AO2" s="877"/>
      <c r="AP2" s="877"/>
      <c r="AQ2" s="877"/>
      <c r="AR2" s="877"/>
      <c r="AS2" s="877"/>
      <c r="AT2" s="878"/>
      <c r="AU2" s="777" t="s">
        <v>669</v>
      </c>
      <c r="AV2" s="778"/>
      <c r="AW2" s="778"/>
      <c r="AX2" s="778"/>
      <c r="AY2" s="778"/>
      <c r="AZ2" s="778"/>
      <c r="BA2" s="778"/>
      <c r="BB2" s="778"/>
      <c r="BC2" s="778"/>
      <c r="BD2" s="778"/>
      <c r="BE2" s="778"/>
      <c r="BF2" s="779"/>
    </row>
    <row r="3" spans="1:58" s="23" customFormat="1" ht="34.5" customHeight="1" x14ac:dyDescent="0.25">
      <c r="A3" s="767"/>
      <c r="B3" s="768"/>
      <c r="C3" s="771"/>
      <c r="D3" s="772"/>
      <c r="E3" s="768"/>
      <c r="F3" s="768"/>
      <c r="G3" s="768"/>
      <c r="H3" s="208"/>
      <c r="I3" s="768"/>
      <c r="J3" s="771"/>
      <c r="K3" s="772"/>
      <c r="L3" s="888"/>
      <c r="M3" s="889"/>
      <c r="N3" s="891"/>
      <c r="O3" s="872"/>
      <c r="P3" s="872"/>
      <c r="Q3" s="872"/>
      <c r="R3" s="873"/>
      <c r="S3" s="873"/>
      <c r="T3" s="873"/>
      <c r="U3" s="873"/>
      <c r="V3" s="22" t="str">
        <f>'[2]SG1-2022_APR'!V3</f>
        <v>Initial</v>
      </c>
      <c r="W3" s="22" t="str">
        <f>'[2]SG1-2022_APR'!W3</f>
        <v>Adjusted</v>
      </c>
      <c r="X3" s="22" t="str">
        <f>'[2]SG1-2022_APR'!X3</f>
        <v>Votes Affected</v>
      </c>
      <c r="Y3" s="883"/>
      <c r="Z3" s="66" t="s">
        <v>310</v>
      </c>
      <c r="AA3" s="84" t="s">
        <v>322</v>
      </c>
      <c r="AB3" s="79" t="s">
        <v>311</v>
      </c>
      <c r="AC3" s="66" t="s">
        <v>310</v>
      </c>
      <c r="AD3" s="84" t="s">
        <v>322</v>
      </c>
      <c r="AE3" s="67" t="s">
        <v>311</v>
      </c>
      <c r="AF3" s="65" t="s">
        <v>310</v>
      </c>
      <c r="AG3" s="84" t="s">
        <v>323</v>
      </c>
      <c r="AH3" s="79" t="s">
        <v>311</v>
      </c>
      <c r="AI3" s="65" t="s">
        <v>310</v>
      </c>
      <c r="AJ3" s="84" t="s">
        <v>323</v>
      </c>
      <c r="AK3" s="448" t="s">
        <v>311</v>
      </c>
      <c r="AL3" s="75" t="s">
        <v>310</v>
      </c>
      <c r="AM3" s="76" t="s">
        <v>311</v>
      </c>
      <c r="AN3" s="77" t="s">
        <v>314</v>
      </c>
      <c r="AO3" s="77" t="s">
        <v>315</v>
      </c>
      <c r="AP3" s="77" t="s">
        <v>316</v>
      </c>
      <c r="AQ3" s="77" t="s">
        <v>317</v>
      </c>
      <c r="AR3" s="77" t="s">
        <v>318</v>
      </c>
      <c r="AS3" s="77" t="s">
        <v>319</v>
      </c>
      <c r="AT3" s="78" t="s">
        <v>321</v>
      </c>
      <c r="AU3" s="200" t="s">
        <v>668</v>
      </c>
      <c r="AV3" s="200" t="s">
        <v>667</v>
      </c>
      <c r="AW3" s="200" t="s">
        <v>666</v>
      </c>
      <c r="AX3" s="200" t="s">
        <v>665</v>
      </c>
      <c r="AY3" s="199" t="s">
        <v>664</v>
      </c>
      <c r="AZ3" s="199" t="s">
        <v>663</v>
      </c>
      <c r="BA3" s="199" t="s">
        <v>662</v>
      </c>
      <c r="BB3" s="199" t="s">
        <v>661</v>
      </c>
      <c r="BC3" s="199" t="s">
        <v>660</v>
      </c>
      <c r="BD3" s="199" t="s">
        <v>659</v>
      </c>
      <c r="BE3" s="199" t="s">
        <v>658</v>
      </c>
      <c r="BF3" s="199" t="s">
        <v>657</v>
      </c>
    </row>
    <row r="4" spans="1:58" s="23" customFormat="1" ht="300" customHeight="1" x14ac:dyDescent="0.25">
      <c r="A4" s="879" t="s">
        <v>216</v>
      </c>
      <c r="B4" s="19" t="s">
        <v>14</v>
      </c>
      <c r="C4" s="849">
        <v>5</v>
      </c>
      <c r="D4" s="837" t="s">
        <v>217</v>
      </c>
      <c r="E4" s="213" t="s">
        <v>223</v>
      </c>
      <c r="F4" s="206" t="s">
        <v>66</v>
      </c>
      <c r="G4" s="206" t="s">
        <v>16</v>
      </c>
      <c r="H4" s="206" t="s">
        <v>67</v>
      </c>
      <c r="I4" s="206" t="s">
        <v>68</v>
      </c>
      <c r="J4" s="226" t="s">
        <v>285</v>
      </c>
      <c r="K4" s="206" t="s">
        <v>261</v>
      </c>
      <c r="L4" s="195" t="s">
        <v>221</v>
      </c>
      <c r="M4" s="195" t="s">
        <v>263</v>
      </c>
      <c r="N4" s="206" t="s">
        <v>66</v>
      </c>
      <c r="O4" s="206" t="s">
        <v>29</v>
      </c>
      <c r="P4" s="206" t="s">
        <v>30</v>
      </c>
      <c r="Q4" s="232">
        <v>44742</v>
      </c>
      <c r="R4" s="179" t="s">
        <v>262</v>
      </c>
      <c r="S4" s="179" t="str">
        <f>R4</f>
        <v>3 funding applications submitted in the quarter</v>
      </c>
      <c r="T4" s="179" t="str">
        <f>S4</f>
        <v>3 funding applications submitted in the quarter</v>
      </c>
      <c r="U4" s="179" t="s">
        <v>264</v>
      </c>
      <c r="V4" s="20">
        <v>0</v>
      </c>
      <c r="W4" s="20">
        <v>6000000</v>
      </c>
      <c r="X4" s="206" t="s">
        <v>222</v>
      </c>
      <c r="Y4" s="207" t="s">
        <v>269</v>
      </c>
      <c r="Z4" s="83" t="s">
        <v>324</v>
      </c>
      <c r="AA4" s="74" t="s">
        <v>325</v>
      </c>
      <c r="AB4" s="82">
        <f>7/3</f>
        <v>2.3333333333333335</v>
      </c>
      <c r="AC4" s="75" t="str">
        <f>Z4</f>
        <v xml:space="preserve">Achieved Above Required Performance Metric
</v>
      </c>
      <c r="AD4" s="74" t="s">
        <v>338</v>
      </c>
      <c r="AE4" s="85">
        <f>3/3</f>
        <v>1</v>
      </c>
      <c r="AF4" s="116" t="s">
        <v>457</v>
      </c>
      <c r="AG4" s="74" t="s">
        <v>565</v>
      </c>
      <c r="AH4" s="82">
        <v>1</v>
      </c>
      <c r="AI4" s="116" t="s">
        <v>457</v>
      </c>
      <c r="AJ4" s="74" t="s">
        <v>568</v>
      </c>
      <c r="AK4" s="82">
        <v>1</v>
      </c>
      <c r="AL4" s="120" t="s">
        <v>511</v>
      </c>
      <c r="AM4" s="68">
        <f>(72889584+1360000)/25000000</f>
        <v>2.9699833600000001</v>
      </c>
      <c r="AN4" s="86" t="s">
        <v>756</v>
      </c>
      <c r="AO4" s="86" t="s">
        <v>332</v>
      </c>
      <c r="AP4" s="86" t="s">
        <v>326</v>
      </c>
      <c r="AQ4" s="87">
        <v>44742</v>
      </c>
      <c r="AR4" s="80">
        <v>5668768.2300000004</v>
      </c>
      <c r="AS4" s="68">
        <f>AR4/W4</f>
        <v>0.94479470500000007</v>
      </c>
      <c r="AT4" s="81" t="s">
        <v>327</v>
      </c>
      <c r="AU4" s="196" t="s">
        <v>654</v>
      </c>
      <c r="AV4" s="196" t="s">
        <v>654</v>
      </c>
      <c r="AW4" s="196" t="s">
        <v>654</v>
      </c>
      <c r="AX4" s="430" t="s">
        <v>654</v>
      </c>
      <c r="AY4" s="77" t="s">
        <v>511</v>
      </c>
      <c r="AZ4" s="194" t="s">
        <v>739</v>
      </c>
      <c r="BA4" s="193" t="s">
        <v>738</v>
      </c>
      <c r="BB4" s="193" t="s">
        <v>738</v>
      </c>
      <c r="BC4" s="77" t="s">
        <v>511</v>
      </c>
      <c r="BD4" s="194" t="s">
        <v>740</v>
      </c>
      <c r="BE4" s="193" t="s">
        <v>738</v>
      </c>
      <c r="BF4" s="193" t="s">
        <v>738</v>
      </c>
    </row>
    <row r="5" spans="1:58" s="23" customFormat="1" ht="360" customHeight="1" x14ac:dyDescent="0.25">
      <c r="A5" s="880"/>
      <c r="B5" s="783" t="s">
        <v>64</v>
      </c>
      <c r="C5" s="850"/>
      <c r="D5" s="837"/>
      <c r="E5" s="213" t="s">
        <v>224</v>
      </c>
      <c r="F5" s="206" t="s">
        <v>69</v>
      </c>
      <c r="G5" s="206" t="s">
        <v>16</v>
      </c>
      <c r="H5" s="206" t="s">
        <v>265</v>
      </c>
      <c r="I5" s="206" t="s">
        <v>70</v>
      </c>
      <c r="J5" s="226" t="s">
        <v>285</v>
      </c>
      <c r="K5" s="206" t="s">
        <v>266</v>
      </c>
      <c r="L5" s="195" t="s">
        <v>226</v>
      </c>
      <c r="M5" s="195" t="s">
        <v>71</v>
      </c>
      <c r="N5" s="206" t="s">
        <v>69</v>
      </c>
      <c r="O5" s="206" t="s">
        <v>29</v>
      </c>
      <c r="P5" s="206" t="s">
        <v>30</v>
      </c>
      <c r="Q5" s="232">
        <v>44742</v>
      </c>
      <c r="R5" s="179" t="s">
        <v>267</v>
      </c>
      <c r="S5" s="179" t="s">
        <v>294</v>
      </c>
      <c r="T5" s="179" t="s">
        <v>293</v>
      </c>
      <c r="U5" s="179" t="s">
        <v>267</v>
      </c>
      <c r="V5" s="20">
        <f>65000+75000</f>
        <v>140000</v>
      </c>
      <c r="W5" s="20">
        <f>76000+18644.95</f>
        <v>94644.95</v>
      </c>
      <c r="X5" s="206" t="s">
        <v>268</v>
      </c>
      <c r="Y5" s="207" t="s">
        <v>270</v>
      </c>
      <c r="Z5" s="88" t="s">
        <v>328</v>
      </c>
      <c r="AA5" s="74" t="s">
        <v>329</v>
      </c>
      <c r="AB5" s="431">
        <f>1/1</f>
        <v>1</v>
      </c>
      <c r="AC5" s="89" t="s">
        <v>331</v>
      </c>
      <c r="AD5" s="74" t="s">
        <v>741</v>
      </c>
      <c r="AE5" s="432">
        <f>1/3</f>
        <v>0.33333333333333331</v>
      </c>
      <c r="AF5" s="433" t="s">
        <v>333</v>
      </c>
      <c r="AG5" s="74" t="s">
        <v>569</v>
      </c>
      <c r="AH5" s="431">
        <v>0.75</v>
      </c>
      <c r="AI5" s="116" t="s">
        <v>457</v>
      </c>
      <c r="AJ5" s="74" t="s">
        <v>757</v>
      </c>
      <c r="AK5" s="431">
        <v>1</v>
      </c>
      <c r="AL5" s="90" t="s">
        <v>1004</v>
      </c>
      <c r="AM5" s="62">
        <v>0</v>
      </c>
      <c r="AN5" s="86" t="s">
        <v>992</v>
      </c>
      <c r="AO5" s="86" t="s">
        <v>993</v>
      </c>
      <c r="AP5" s="86" t="s">
        <v>326</v>
      </c>
      <c r="AQ5" s="87">
        <v>44772</v>
      </c>
      <c r="AR5" s="80">
        <f>75992.66+18242.6</f>
        <v>94235.260000000009</v>
      </c>
      <c r="AS5" s="68">
        <f>AR5/W5</f>
        <v>0.99567129572153623</v>
      </c>
      <c r="AT5" s="81" t="s">
        <v>334</v>
      </c>
      <c r="AU5" s="434" t="s">
        <v>656</v>
      </c>
      <c r="AV5" s="430" t="s">
        <v>654</v>
      </c>
      <c r="AW5" s="430" t="s">
        <v>654</v>
      </c>
      <c r="AX5" s="430" t="s">
        <v>654</v>
      </c>
      <c r="AY5" s="187" t="s">
        <v>457</v>
      </c>
      <c r="AZ5" s="194" t="s">
        <v>742</v>
      </c>
      <c r="BA5" s="193" t="s">
        <v>743</v>
      </c>
      <c r="BB5" s="193" t="s">
        <v>744</v>
      </c>
      <c r="BC5" s="170" t="s">
        <v>331</v>
      </c>
      <c r="BD5" s="194" t="s">
        <v>745</v>
      </c>
      <c r="BE5" s="435" t="s">
        <v>758</v>
      </c>
      <c r="BF5" s="193" t="s">
        <v>746</v>
      </c>
    </row>
    <row r="6" spans="1:58" s="23" customFormat="1" ht="188.25" customHeight="1" x14ac:dyDescent="0.25">
      <c r="A6" s="880"/>
      <c r="B6" s="785"/>
      <c r="C6" s="850"/>
      <c r="D6" s="837"/>
      <c r="E6" s="213" t="s">
        <v>224</v>
      </c>
      <c r="F6" s="206" t="s">
        <v>295</v>
      </c>
      <c r="G6" s="206" t="s">
        <v>16</v>
      </c>
      <c r="H6" s="206" t="s">
        <v>265</v>
      </c>
      <c r="I6" s="206" t="s">
        <v>70</v>
      </c>
      <c r="J6" s="226" t="s">
        <v>285</v>
      </c>
      <c r="K6" s="206">
        <v>25</v>
      </c>
      <c r="L6" s="195" t="s">
        <v>274</v>
      </c>
      <c r="M6" s="195" t="s">
        <v>296</v>
      </c>
      <c r="N6" s="206" t="str">
        <f>F6</f>
        <v xml:space="preserve">Number of  new tenants secured for industrial enterprise development initaives </v>
      </c>
      <c r="O6" s="206" t="s">
        <v>19</v>
      </c>
      <c r="P6" s="206" t="s">
        <v>20</v>
      </c>
      <c r="Q6" s="232">
        <v>44742</v>
      </c>
      <c r="R6" s="179" t="s">
        <v>23</v>
      </c>
      <c r="S6" s="179" t="s">
        <v>23</v>
      </c>
      <c r="T6" s="179" t="s">
        <v>23</v>
      </c>
      <c r="U6" s="179" t="str">
        <f>M6</f>
        <v>5 new tenants secured for Komani Ind Park operating lease management</v>
      </c>
      <c r="V6" s="20">
        <v>2000000</v>
      </c>
      <c r="W6" s="20">
        <v>2000000</v>
      </c>
      <c r="X6" s="206" t="s">
        <v>297</v>
      </c>
      <c r="Y6" s="207" t="s">
        <v>298</v>
      </c>
      <c r="Z6" s="842" t="s">
        <v>335</v>
      </c>
      <c r="AA6" s="843"/>
      <c r="AB6" s="844"/>
      <c r="AC6" s="842" t="s">
        <v>336</v>
      </c>
      <c r="AD6" s="843"/>
      <c r="AE6" s="844"/>
      <c r="AF6" s="842" t="s">
        <v>335</v>
      </c>
      <c r="AG6" s="843"/>
      <c r="AH6" s="843"/>
      <c r="AI6" s="187" t="s">
        <v>457</v>
      </c>
      <c r="AJ6" s="137" t="s">
        <v>570</v>
      </c>
      <c r="AK6" s="449">
        <v>1</v>
      </c>
      <c r="AL6" s="115" t="s">
        <v>752</v>
      </c>
      <c r="AM6" s="68">
        <v>1</v>
      </c>
      <c r="AN6" s="61" t="s">
        <v>751</v>
      </c>
      <c r="AO6" s="61" t="s">
        <v>753</v>
      </c>
      <c r="AP6" s="61" t="s">
        <v>326</v>
      </c>
      <c r="AQ6" s="91">
        <v>44742</v>
      </c>
      <c r="AR6" s="92">
        <v>2120167</v>
      </c>
      <c r="AS6" s="68">
        <f>AR6/W6</f>
        <v>1.0600835</v>
      </c>
      <c r="AT6" s="93" t="s">
        <v>337</v>
      </c>
      <c r="AU6" s="196" t="s">
        <v>654</v>
      </c>
      <c r="AV6" s="196" t="s">
        <v>654</v>
      </c>
      <c r="AW6" s="196" t="s">
        <v>654</v>
      </c>
      <c r="AX6" s="196" t="s">
        <v>654</v>
      </c>
      <c r="AY6" s="187" t="s">
        <v>457</v>
      </c>
      <c r="AZ6" s="194" t="s">
        <v>747</v>
      </c>
      <c r="BA6" s="193" t="s">
        <v>738</v>
      </c>
      <c r="BB6" s="193" t="s">
        <v>738</v>
      </c>
      <c r="BC6" s="187" t="s">
        <v>457</v>
      </c>
      <c r="BD6" s="194" t="s">
        <v>748</v>
      </c>
      <c r="BE6" s="193" t="s">
        <v>738</v>
      </c>
      <c r="BF6" s="193" t="s">
        <v>738</v>
      </c>
    </row>
    <row r="7" spans="1:58" s="23" customFormat="1" ht="188.25" customHeight="1" thickBot="1" x14ac:dyDescent="0.3">
      <c r="A7" s="881"/>
      <c r="B7" s="436" t="s">
        <v>65</v>
      </c>
      <c r="C7" s="851"/>
      <c r="D7" s="882"/>
      <c r="E7" s="215" t="s">
        <v>225</v>
      </c>
      <c r="F7" s="230" t="s">
        <v>72</v>
      </c>
      <c r="G7" s="230" t="s">
        <v>16</v>
      </c>
      <c r="H7" s="230" t="s">
        <v>67</v>
      </c>
      <c r="I7" s="230" t="s">
        <v>73</v>
      </c>
      <c r="J7" s="437" t="s">
        <v>285</v>
      </c>
      <c r="K7" s="230" t="s">
        <v>271</v>
      </c>
      <c r="L7" s="666" t="s">
        <v>759</v>
      </c>
      <c r="M7" s="666" t="s">
        <v>74</v>
      </c>
      <c r="N7" s="230" t="s">
        <v>72</v>
      </c>
      <c r="O7" s="230" t="s">
        <v>20</v>
      </c>
      <c r="P7" s="230" t="s">
        <v>19</v>
      </c>
      <c r="Q7" s="29">
        <v>44742</v>
      </c>
      <c r="R7" s="665" t="s">
        <v>23</v>
      </c>
      <c r="S7" s="665" t="s">
        <v>23</v>
      </c>
      <c r="T7" s="665" t="s">
        <v>272</v>
      </c>
      <c r="U7" s="665" t="str">
        <f>M7</f>
        <v>R2.2 million facilitated in offtakes that benefit local enterprises</v>
      </c>
      <c r="V7" s="438">
        <v>0</v>
      </c>
      <c r="W7" s="438">
        <v>0</v>
      </c>
      <c r="X7" s="230" t="str">
        <f>'[2]SG1-2022_APR'!X12</f>
        <v>n/a - internally funded from salaries budget</v>
      </c>
      <c r="Y7" s="439" t="s">
        <v>273</v>
      </c>
      <c r="Z7" s="892" t="s">
        <v>335</v>
      </c>
      <c r="AA7" s="893"/>
      <c r="AB7" s="894"/>
      <c r="AC7" s="892" t="s">
        <v>336</v>
      </c>
      <c r="AD7" s="893"/>
      <c r="AE7" s="894"/>
      <c r="AF7" s="450" t="s">
        <v>754</v>
      </c>
      <c r="AG7" s="441" t="s">
        <v>755</v>
      </c>
      <c r="AH7" s="442">
        <v>3</v>
      </c>
      <c r="AI7" s="450" t="s">
        <v>754</v>
      </c>
      <c r="AJ7" s="441" t="s">
        <v>1005</v>
      </c>
      <c r="AK7" s="442">
        <v>4.55</v>
      </c>
      <c r="AL7" s="676" t="s">
        <v>1006</v>
      </c>
      <c r="AM7" s="443">
        <f>(1520000+8500000)/2200000</f>
        <v>4.5545454545454547</v>
      </c>
      <c r="AN7" s="94" t="s">
        <v>23</v>
      </c>
      <c r="AO7" s="94" t="s">
        <v>23</v>
      </c>
      <c r="AP7" s="94" t="s">
        <v>23</v>
      </c>
      <c r="AQ7" s="444" t="s">
        <v>23</v>
      </c>
      <c r="AR7" s="445">
        <v>0</v>
      </c>
      <c r="AS7" s="72">
        <v>0</v>
      </c>
      <c r="AT7" s="446" t="s">
        <v>23</v>
      </c>
      <c r="AU7" s="196" t="s">
        <v>654</v>
      </c>
      <c r="AV7" s="196" t="s">
        <v>654</v>
      </c>
      <c r="AW7" s="196" t="s">
        <v>654</v>
      </c>
      <c r="AX7" s="196" t="s">
        <v>654</v>
      </c>
      <c r="AY7" s="440" t="s">
        <v>330</v>
      </c>
      <c r="AZ7" s="194" t="s">
        <v>749</v>
      </c>
      <c r="BA7" s="193" t="s">
        <v>738</v>
      </c>
      <c r="BB7" s="193" t="s">
        <v>738</v>
      </c>
      <c r="BC7" s="187" t="s">
        <v>457</v>
      </c>
      <c r="BD7" s="194" t="s">
        <v>750</v>
      </c>
      <c r="BE7" s="193" t="s">
        <v>738</v>
      </c>
      <c r="BF7" s="193" t="s">
        <v>738</v>
      </c>
    </row>
    <row r="8" spans="1:58" s="35" customFormat="1" x14ac:dyDescent="0.2">
      <c r="F8" s="96">
        <f t="shared" ref="F8" si="0">COUNTA(F4:F7)</f>
        <v>4</v>
      </c>
      <c r="G8" s="96"/>
      <c r="H8" s="96"/>
      <c r="I8" s="96"/>
      <c r="J8" s="96"/>
      <c r="K8" s="96"/>
      <c r="L8" s="96">
        <f>COUNTA(L4:L7)</f>
        <v>4</v>
      </c>
      <c r="M8" s="37"/>
      <c r="R8" s="654"/>
      <c r="S8" s="654"/>
      <c r="T8" s="654"/>
      <c r="U8" s="654"/>
      <c r="V8" s="40">
        <f>SUM(V4:V7)</f>
        <v>2140000</v>
      </c>
      <c r="W8" s="40">
        <f>SUM(W4:W7)</f>
        <v>8094644.9500000002</v>
      </c>
      <c r="Z8" s="21"/>
      <c r="AA8" s="21"/>
      <c r="AB8" s="21"/>
      <c r="AC8" s="21"/>
      <c r="AD8" s="21"/>
      <c r="AE8" s="21"/>
      <c r="AF8" s="21"/>
      <c r="AG8" s="21"/>
      <c r="AH8" s="21"/>
      <c r="AI8" s="21"/>
      <c r="AJ8" s="21"/>
      <c r="AK8" s="34"/>
      <c r="AL8" s="21"/>
      <c r="AM8" s="21"/>
      <c r="AN8" s="21"/>
      <c r="AO8" s="21"/>
      <c r="AP8" s="21"/>
      <c r="AQ8" s="21"/>
      <c r="AR8" s="21"/>
      <c r="AS8" s="21"/>
      <c r="AT8" s="21"/>
    </row>
  </sheetData>
  <mergeCells count="35">
    <mergeCell ref="AC6:AE6"/>
    <mergeCell ref="AF6:AH6"/>
    <mergeCell ref="Z7:AB7"/>
    <mergeCell ref="AC7:AE7"/>
    <mergeCell ref="AC2:AE2"/>
    <mergeCell ref="AF2:AH2"/>
    <mergeCell ref="AI2:AK2"/>
    <mergeCell ref="AL2:AT2"/>
    <mergeCell ref="AU2:BF2"/>
    <mergeCell ref="A4:A7"/>
    <mergeCell ref="C4:C7"/>
    <mergeCell ref="D4:D7"/>
    <mergeCell ref="B5:B6"/>
    <mergeCell ref="Z6:AB6"/>
    <mergeCell ref="S2:S3"/>
    <mergeCell ref="T2:T3"/>
    <mergeCell ref="U2:U3"/>
    <mergeCell ref="V2:X2"/>
    <mergeCell ref="Y2:Y3"/>
    <mergeCell ref="Z2:AB2"/>
    <mergeCell ref="L2:M3"/>
    <mergeCell ref="N2:N3"/>
    <mergeCell ref="O2:O3"/>
    <mergeCell ref="P2:P3"/>
    <mergeCell ref="Q2:Q3"/>
    <mergeCell ref="R2:R3"/>
    <mergeCell ref="A1:K1"/>
    <mergeCell ref="A2:A3"/>
    <mergeCell ref="B2:B3"/>
    <mergeCell ref="C2:D3"/>
    <mergeCell ref="E2:E3"/>
    <mergeCell ref="F2:F3"/>
    <mergeCell ref="G2:G3"/>
    <mergeCell ref="I2:I3"/>
    <mergeCell ref="J2:K3"/>
  </mergeCells>
  <conditionalFormatting sqref="BA4 BA6:BA7">
    <cfRule type="containsText" dxfId="475" priority="104" operator="containsText" text="Achieved ">
      <formula>NOT(ISERROR(SEARCH("Achieved ",BA4)))</formula>
    </cfRule>
    <cfRule type="containsText" dxfId="474" priority="105" operator="containsText" text="Achieved above target">
      <formula>NOT(ISERROR(SEARCH("Achieved above target",BA4)))</formula>
    </cfRule>
  </conditionalFormatting>
  <conditionalFormatting sqref="BA4 BA6:BA7">
    <cfRule type="containsText" dxfId="473" priority="99" operator="containsText" text="Part Achieved">
      <formula>NOT(ISERROR(SEARCH("Part Achieved",BA4)))</formula>
    </cfRule>
    <cfRule type="containsText" dxfId="472" priority="100" operator="containsText" text="Achieved above target">
      <formula>NOT(ISERROR(SEARCH("Achieved above target",BA4)))</formula>
    </cfRule>
    <cfRule type="containsText" dxfId="471" priority="101" operator="containsText" text="Not achieved">
      <formula>NOT(ISERROR(SEARCH("Not achieved",BA4)))</formula>
    </cfRule>
    <cfRule type="containsText" dxfId="470" priority="102" operator="containsText" text="Not achieved">
      <formula>NOT(ISERROR(SEARCH("Not achieved",BA4)))</formula>
    </cfRule>
    <cfRule type="containsText" dxfId="469" priority="103" operator="containsText" text="Achieved">
      <formula>NOT(ISERROR(SEARCH("Achieved",BA4)))</formula>
    </cfRule>
  </conditionalFormatting>
  <conditionalFormatting sqref="AZ4:AZ7">
    <cfRule type="containsText" dxfId="468" priority="97" operator="containsText" text="Achieved ">
      <formula>NOT(ISERROR(SEARCH("Achieved ",AZ4)))</formula>
    </cfRule>
    <cfRule type="containsText" dxfId="467" priority="98" operator="containsText" text="Achieved above target">
      <formula>NOT(ISERROR(SEARCH("Achieved above target",AZ4)))</formula>
    </cfRule>
  </conditionalFormatting>
  <conditionalFormatting sqref="AZ4:AZ7">
    <cfRule type="containsText" dxfId="466" priority="92" operator="containsText" text="Part Achieved">
      <formula>NOT(ISERROR(SEARCH("Part Achieved",AZ4)))</formula>
    </cfRule>
    <cfRule type="containsText" dxfId="465" priority="93" operator="containsText" text="Achieved above target">
      <formula>NOT(ISERROR(SEARCH("Achieved above target",AZ4)))</formula>
    </cfRule>
    <cfRule type="containsText" dxfId="464" priority="94" operator="containsText" text="Not achieved">
      <formula>NOT(ISERROR(SEARCH("Not achieved",AZ4)))</formula>
    </cfRule>
    <cfRule type="containsText" dxfId="463" priority="95" operator="containsText" text="Not achieved">
      <formula>NOT(ISERROR(SEARCH("Not achieved",AZ4)))</formula>
    </cfRule>
    <cfRule type="containsText" dxfId="462" priority="96" operator="containsText" text="Achieved">
      <formula>NOT(ISERROR(SEARCH("Achieved",AZ4)))</formula>
    </cfRule>
  </conditionalFormatting>
  <conditionalFormatting sqref="BE5">
    <cfRule type="containsText" dxfId="461" priority="90" operator="containsText" text="Achieved ">
      <formula>NOT(ISERROR(SEARCH("Achieved ",BE5)))</formula>
    </cfRule>
    <cfRule type="containsText" dxfId="460" priority="91" operator="containsText" text="Achieved above target">
      <formula>NOT(ISERROR(SEARCH("Achieved above target",BE5)))</formula>
    </cfRule>
  </conditionalFormatting>
  <conditionalFormatting sqref="BE5">
    <cfRule type="containsText" dxfId="459" priority="85" operator="containsText" text="Part Achieved">
      <formula>NOT(ISERROR(SEARCH("Part Achieved",BE5)))</formula>
    </cfRule>
    <cfRule type="containsText" dxfId="458" priority="86" operator="containsText" text="Achieved above target">
      <formula>NOT(ISERROR(SEARCH("Achieved above target",BE5)))</formula>
    </cfRule>
    <cfRule type="containsText" dxfId="457" priority="87" operator="containsText" text="Not achieved">
      <formula>NOT(ISERROR(SEARCH("Not achieved",BE5)))</formula>
    </cfRule>
    <cfRule type="containsText" dxfId="456" priority="88" operator="containsText" text="Not achieved">
      <formula>NOT(ISERROR(SEARCH("Not achieved",BE5)))</formula>
    </cfRule>
    <cfRule type="containsText" dxfId="455" priority="89" operator="containsText" text="Achieved">
      <formula>NOT(ISERROR(SEARCH("Achieved",BE5)))</formula>
    </cfRule>
  </conditionalFormatting>
  <conditionalFormatting sqref="BD4:BD5">
    <cfRule type="containsText" dxfId="454" priority="83" operator="containsText" text="Achieved ">
      <formula>NOT(ISERROR(SEARCH("Achieved ",BD4)))</formula>
    </cfRule>
    <cfRule type="containsText" dxfId="453" priority="84" operator="containsText" text="Achieved above target">
      <formula>NOT(ISERROR(SEARCH("Achieved above target",BD4)))</formula>
    </cfRule>
  </conditionalFormatting>
  <conditionalFormatting sqref="BD4:BD5">
    <cfRule type="containsText" dxfId="452" priority="78" operator="containsText" text="Part Achieved">
      <formula>NOT(ISERROR(SEARCH("Part Achieved",BD4)))</formula>
    </cfRule>
    <cfRule type="containsText" dxfId="451" priority="79" operator="containsText" text="Achieved above target">
      <formula>NOT(ISERROR(SEARCH("Achieved above target",BD4)))</formula>
    </cfRule>
    <cfRule type="containsText" dxfId="450" priority="80" operator="containsText" text="Not achieved">
      <formula>NOT(ISERROR(SEARCH("Not achieved",BD4)))</formula>
    </cfRule>
    <cfRule type="containsText" dxfId="449" priority="81" operator="containsText" text="Not achieved">
      <formula>NOT(ISERROR(SEARCH("Not achieved",BD4)))</formula>
    </cfRule>
    <cfRule type="containsText" dxfId="448" priority="82" operator="containsText" text="Achieved">
      <formula>NOT(ISERROR(SEARCH("Achieved",BD4)))</formula>
    </cfRule>
  </conditionalFormatting>
  <conditionalFormatting sqref="BD6">
    <cfRule type="containsText" dxfId="447" priority="76" operator="containsText" text="Achieved ">
      <formula>NOT(ISERROR(SEARCH("Achieved ",BD6)))</formula>
    </cfRule>
    <cfRule type="containsText" dxfId="446" priority="77" operator="containsText" text="Achieved above target">
      <formula>NOT(ISERROR(SEARCH("Achieved above target",BD6)))</formula>
    </cfRule>
  </conditionalFormatting>
  <conditionalFormatting sqref="BD6">
    <cfRule type="containsText" dxfId="445" priority="71" operator="containsText" text="Part Achieved">
      <formula>NOT(ISERROR(SEARCH("Part Achieved",BD6)))</formula>
    </cfRule>
    <cfRule type="containsText" dxfId="444" priority="72" operator="containsText" text="Achieved above target">
      <formula>NOT(ISERROR(SEARCH("Achieved above target",BD6)))</formula>
    </cfRule>
    <cfRule type="containsText" dxfId="443" priority="73" operator="containsText" text="Not achieved">
      <formula>NOT(ISERROR(SEARCH("Not achieved",BD6)))</formula>
    </cfRule>
    <cfRule type="containsText" dxfId="442" priority="74" operator="containsText" text="Not achieved">
      <formula>NOT(ISERROR(SEARCH("Not achieved",BD6)))</formula>
    </cfRule>
    <cfRule type="containsText" dxfId="441" priority="75" operator="containsText" text="Achieved">
      <formula>NOT(ISERROR(SEARCH("Achieved",BD6)))</formula>
    </cfRule>
  </conditionalFormatting>
  <conditionalFormatting sqref="BD7">
    <cfRule type="containsText" dxfId="440" priority="69" operator="containsText" text="Achieved ">
      <formula>NOT(ISERROR(SEARCH("Achieved ",BD7)))</formula>
    </cfRule>
    <cfRule type="containsText" dxfId="439" priority="70" operator="containsText" text="Achieved above target">
      <formula>NOT(ISERROR(SEARCH("Achieved above target",BD7)))</formula>
    </cfRule>
  </conditionalFormatting>
  <conditionalFormatting sqref="BD7">
    <cfRule type="containsText" dxfId="438" priority="64" operator="containsText" text="Part Achieved">
      <formula>NOT(ISERROR(SEARCH("Part Achieved",BD7)))</formula>
    </cfRule>
    <cfRule type="containsText" dxfId="437" priority="65" operator="containsText" text="Achieved above target">
      <formula>NOT(ISERROR(SEARCH("Achieved above target",BD7)))</formula>
    </cfRule>
    <cfRule type="containsText" dxfId="436" priority="66" operator="containsText" text="Not achieved">
      <formula>NOT(ISERROR(SEARCH("Not achieved",BD7)))</formula>
    </cfRule>
    <cfRule type="containsText" dxfId="435" priority="67" operator="containsText" text="Not achieved">
      <formula>NOT(ISERROR(SEARCH("Not achieved",BD7)))</formula>
    </cfRule>
    <cfRule type="containsText" dxfId="434" priority="68" operator="containsText" text="Achieved">
      <formula>NOT(ISERROR(SEARCH("Achieved",BD7)))</formula>
    </cfRule>
  </conditionalFormatting>
  <conditionalFormatting sqref="BB4">
    <cfRule type="containsText" dxfId="433" priority="62" operator="containsText" text="Achieved ">
      <formula>NOT(ISERROR(SEARCH("Achieved ",BB4)))</formula>
    </cfRule>
    <cfRule type="containsText" dxfId="432" priority="63" operator="containsText" text="Achieved above target">
      <formula>NOT(ISERROR(SEARCH("Achieved above target",BB4)))</formula>
    </cfRule>
  </conditionalFormatting>
  <conditionalFormatting sqref="BB4">
    <cfRule type="containsText" dxfId="431" priority="57" operator="containsText" text="Part Achieved">
      <formula>NOT(ISERROR(SEARCH("Part Achieved",BB4)))</formula>
    </cfRule>
    <cfRule type="containsText" dxfId="430" priority="58" operator="containsText" text="Achieved above target">
      <formula>NOT(ISERROR(SEARCH("Achieved above target",BB4)))</formula>
    </cfRule>
    <cfRule type="containsText" dxfId="429" priority="59" operator="containsText" text="Not achieved">
      <formula>NOT(ISERROR(SEARCH("Not achieved",BB4)))</formula>
    </cfRule>
    <cfRule type="containsText" dxfId="428" priority="60" operator="containsText" text="Not achieved">
      <formula>NOT(ISERROR(SEARCH("Not achieved",BB4)))</formula>
    </cfRule>
    <cfRule type="containsText" dxfId="427" priority="61" operator="containsText" text="Achieved">
      <formula>NOT(ISERROR(SEARCH("Achieved",BB4)))</formula>
    </cfRule>
  </conditionalFormatting>
  <conditionalFormatting sqref="BE4">
    <cfRule type="containsText" dxfId="426" priority="55" operator="containsText" text="Achieved ">
      <formula>NOT(ISERROR(SEARCH("Achieved ",BE4)))</formula>
    </cfRule>
    <cfRule type="containsText" dxfId="425" priority="56" operator="containsText" text="Achieved above target">
      <formula>NOT(ISERROR(SEARCH("Achieved above target",BE4)))</formula>
    </cfRule>
  </conditionalFormatting>
  <conditionalFormatting sqref="BE4">
    <cfRule type="containsText" dxfId="424" priority="50" operator="containsText" text="Part Achieved">
      <formula>NOT(ISERROR(SEARCH("Part Achieved",BE4)))</formula>
    </cfRule>
    <cfRule type="containsText" dxfId="423" priority="51" operator="containsText" text="Achieved above target">
      <formula>NOT(ISERROR(SEARCH("Achieved above target",BE4)))</formula>
    </cfRule>
    <cfRule type="containsText" dxfId="422" priority="52" operator="containsText" text="Not achieved">
      <formula>NOT(ISERROR(SEARCH("Not achieved",BE4)))</formula>
    </cfRule>
    <cfRule type="containsText" dxfId="421" priority="53" operator="containsText" text="Not achieved">
      <formula>NOT(ISERROR(SEARCH("Not achieved",BE4)))</formula>
    </cfRule>
    <cfRule type="containsText" dxfId="420" priority="54" operator="containsText" text="Achieved">
      <formula>NOT(ISERROR(SEARCH("Achieved",BE4)))</formula>
    </cfRule>
  </conditionalFormatting>
  <conditionalFormatting sqref="BF4">
    <cfRule type="containsText" dxfId="419" priority="48" operator="containsText" text="Achieved ">
      <formula>NOT(ISERROR(SEARCH("Achieved ",BF4)))</formula>
    </cfRule>
    <cfRule type="containsText" dxfId="418" priority="49" operator="containsText" text="Achieved above target">
      <formula>NOT(ISERROR(SEARCH("Achieved above target",BF4)))</formula>
    </cfRule>
  </conditionalFormatting>
  <conditionalFormatting sqref="BF4">
    <cfRule type="containsText" dxfId="417" priority="43" operator="containsText" text="Part Achieved">
      <formula>NOT(ISERROR(SEARCH("Part Achieved",BF4)))</formula>
    </cfRule>
    <cfRule type="containsText" dxfId="416" priority="44" operator="containsText" text="Achieved above target">
      <formula>NOT(ISERROR(SEARCH("Achieved above target",BF4)))</formula>
    </cfRule>
    <cfRule type="containsText" dxfId="415" priority="45" operator="containsText" text="Not achieved">
      <formula>NOT(ISERROR(SEARCH("Not achieved",BF4)))</formula>
    </cfRule>
    <cfRule type="containsText" dxfId="414" priority="46" operator="containsText" text="Not achieved">
      <formula>NOT(ISERROR(SEARCH("Not achieved",BF4)))</formula>
    </cfRule>
    <cfRule type="containsText" dxfId="413" priority="47" operator="containsText" text="Achieved">
      <formula>NOT(ISERROR(SEARCH("Achieved",BF4)))</formula>
    </cfRule>
  </conditionalFormatting>
  <conditionalFormatting sqref="BA5">
    <cfRule type="containsText" dxfId="412" priority="41" operator="containsText" text="Achieved ">
      <formula>NOT(ISERROR(SEARCH("Achieved ",BA5)))</formula>
    </cfRule>
    <cfRule type="containsText" dxfId="411" priority="42" operator="containsText" text="Achieved above target">
      <formula>NOT(ISERROR(SEARCH("Achieved above target",BA5)))</formula>
    </cfRule>
  </conditionalFormatting>
  <conditionalFormatting sqref="BA5">
    <cfRule type="containsText" dxfId="410" priority="36" operator="containsText" text="Part Achieved">
      <formula>NOT(ISERROR(SEARCH("Part Achieved",BA5)))</formula>
    </cfRule>
    <cfRule type="containsText" dxfId="409" priority="37" operator="containsText" text="Achieved above target">
      <formula>NOT(ISERROR(SEARCH("Achieved above target",BA5)))</formula>
    </cfRule>
    <cfRule type="containsText" dxfId="408" priority="38" operator="containsText" text="Not achieved">
      <formula>NOT(ISERROR(SEARCH("Not achieved",BA5)))</formula>
    </cfRule>
    <cfRule type="containsText" dxfId="407" priority="39" operator="containsText" text="Not achieved">
      <formula>NOT(ISERROR(SEARCH("Not achieved",BA5)))</formula>
    </cfRule>
    <cfRule type="containsText" dxfId="406" priority="40" operator="containsText" text="Achieved">
      <formula>NOT(ISERROR(SEARCH("Achieved",BA5)))</formula>
    </cfRule>
  </conditionalFormatting>
  <conditionalFormatting sqref="BB6:BB7">
    <cfRule type="containsText" dxfId="405" priority="34" operator="containsText" text="Achieved ">
      <formula>NOT(ISERROR(SEARCH("Achieved ",BB6)))</formula>
    </cfRule>
    <cfRule type="containsText" dxfId="404" priority="35" operator="containsText" text="Achieved above target">
      <formula>NOT(ISERROR(SEARCH("Achieved above target",BB6)))</formula>
    </cfRule>
  </conditionalFormatting>
  <conditionalFormatting sqref="BB6:BB7">
    <cfRule type="containsText" dxfId="403" priority="29" operator="containsText" text="Part Achieved">
      <formula>NOT(ISERROR(SEARCH("Part Achieved",BB6)))</formula>
    </cfRule>
    <cfRule type="containsText" dxfId="402" priority="30" operator="containsText" text="Achieved above target">
      <formula>NOT(ISERROR(SEARCH("Achieved above target",BB6)))</formula>
    </cfRule>
    <cfRule type="containsText" dxfId="401" priority="31" operator="containsText" text="Not achieved">
      <formula>NOT(ISERROR(SEARCH("Not achieved",BB6)))</formula>
    </cfRule>
    <cfRule type="containsText" dxfId="400" priority="32" operator="containsText" text="Not achieved">
      <formula>NOT(ISERROR(SEARCH("Not achieved",BB6)))</formula>
    </cfRule>
    <cfRule type="containsText" dxfId="399" priority="33" operator="containsText" text="Achieved">
      <formula>NOT(ISERROR(SEARCH("Achieved",BB6)))</formula>
    </cfRule>
  </conditionalFormatting>
  <conditionalFormatting sqref="BE6">
    <cfRule type="containsText" dxfId="398" priority="27" operator="containsText" text="Achieved ">
      <formula>NOT(ISERROR(SEARCH("Achieved ",BE6)))</formula>
    </cfRule>
    <cfRule type="containsText" dxfId="397" priority="28" operator="containsText" text="Achieved above target">
      <formula>NOT(ISERROR(SEARCH("Achieved above target",BE6)))</formula>
    </cfRule>
  </conditionalFormatting>
  <conditionalFormatting sqref="BE6">
    <cfRule type="containsText" dxfId="396" priority="22" operator="containsText" text="Part Achieved">
      <formula>NOT(ISERROR(SEARCH("Part Achieved",BE6)))</formula>
    </cfRule>
    <cfRule type="containsText" dxfId="395" priority="23" operator="containsText" text="Achieved above target">
      <formula>NOT(ISERROR(SEARCH("Achieved above target",BE6)))</formula>
    </cfRule>
    <cfRule type="containsText" dxfId="394" priority="24" operator="containsText" text="Not achieved">
      <formula>NOT(ISERROR(SEARCH("Not achieved",BE6)))</formula>
    </cfRule>
    <cfRule type="containsText" dxfId="393" priority="25" operator="containsText" text="Not achieved">
      <formula>NOT(ISERROR(SEARCH("Not achieved",BE6)))</formula>
    </cfRule>
    <cfRule type="containsText" dxfId="392" priority="26" operator="containsText" text="Achieved">
      <formula>NOT(ISERROR(SEARCH("Achieved",BE6)))</formula>
    </cfRule>
  </conditionalFormatting>
  <conditionalFormatting sqref="BF6">
    <cfRule type="containsText" dxfId="391" priority="20" operator="containsText" text="Achieved ">
      <formula>NOT(ISERROR(SEARCH("Achieved ",BF6)))</formula>
    </cfRule>
    <cfRule type="containsText" dxfId="390" priority="21" operator="containsText" text="Achieved above target">
      <formula>NOT(ISERROR(SEARCH("Achieved above target",BF6)))</formula>
    </cfRule>
  </conditionalFormatting>
  <conditionalFormatting sqref="BF6">
    <cfRule type="containsText" dxfId="389" priority="15" operator="containsText" text="Part Achieved">
      <formula>NOT(ISERROR(SEARCH("Part Achieved",BF6)))</formula>
    </cfRule>
    <cfRule type="containsText" dxfId="388" priority="16" operator="containsText" text="Achieved above target">
      <formula>NOT(ISERROR(SEARCH("Achieved above target",BF6)))</formula>
    </cfRule>
    <cfRule type="containsText" dxfId="387" priority="17" operator="containsText" text="Not achieved">
      <formula>NOT(ISERROR(SEARCH("Not achieved",BF6)))</formula>
    </cfRule>
    <cfRule type="containsText" dxfId="386" priority="18" operator="containsText" text="Not achieved">
      <formula>NOT(ISERROR(SEARCH("Not achieved",BF6)))</formula>
    </cfRule>
    <cfRule type="containsText" dxfId="385" priority="19" operator="containsText" text="Achieved">
      <formula>NOT(ISERROR(SEARCH("Achieved",BF6)))</formula>
    </cfRule>
  </conditionalFormatting>
  <conditionalFormatting sqref="BE7">
    <cfRule type="containsText" dxfId="384" priority="13" operator="containsText" text="Achieved ">
      <formula>NOT(ISERROR(SEARCH("Achieved ",BE7)))</formula>
    </cfRule>
    <cfRule type="containsText" dxfId="383" priority="14" operator="containsText" text="Achieved above target">
      <formula>NOT(ISERROR(SEARCH("Achieved above target",BE7)))</formula>
    </cfRule>
  </conditionalFormatting>
  <conditionalFormatting sqref="BE7">
    <cfRule type="containsText" dxfId="382" priority="8" operator="containsText" text="Part Achieved">
      <formula>NOT(ISERROR(SEARCH("Part Achieved",BE7)))</formula>
    </cfRule>
    <cfRule type="containsText" dxfId="381" priority="9" operator="containsText" text="Achieved above target">
      <formula>NOT(ISERROR(SEARCH("Achieved above target",BE7)))</formula>
    </cfRule>
    <cfRule type="containsText" dxfId="380" priority="10" operator="containsText" text="Not achieved">
      <formula>NOT(ISERROR(SEARCH("Not achieved",BE7)))</formula>
    </cfRule>
    <cfRule type="containsText" dxfId="379" priority="11" operator="containsText" text="Not achieved">
      <formula>NOT(ISERROR(SEARCH("Not achieved",BE7)))</formula>
    </cfRule>
    <cfRule type="containsText" dxfId="378" priority="12" operator="containsText" text="Achieved">
      <formula>NOT(ISERROR(SEARCH("Achieved",BE7)))</formula>
    </cfRule>
  </conditionalFormatting>
  <conditionalFormatting sqref="BF7">
    <cfRule type="containsText" dxfId="377" priority="6" operator="containsText" text="Achieved ">
      <formula>NOT(ISERROR(SEARCH("Achieved ",BF7)))</formula>
    </cfRule>
    <cfRule type="containsText" dxfId="376" priority="7" operator="containsText" text="Achieved above target">
      <formula>NOT(ISERROR(SEARCH("Achieved above target",BF7)))</formula>
    </cfRule>
  </conditionalFormatting>
  <conditionalFormatting sqref="BF7">
    <cfRule type="containsText" dxfId="375" priority="1" operator="containsText" text="Part Achieved">
      <formula>NOT(ISERROR(SEARCH("Part Achieved",BF7)))</formula>
    </cfRule>
    <cfRule type="containsText" dxfId="374" priority="2" operator="containsText" text="Achieved above target">
      <formula>NOT(ISERROR(SEARCH("Achieved above target",BF7)))</formula>
    </cfRule>
    <cfRule type="containsText" dxfId="373" priority="3" operator="containsText" text="Not achieved">
      <formula>NOT(ISERROR(SEARCH("Not achieved",BF7)))</formula>
    </cfRule>
    <cfRule type="containsText" dxfId="372" priority="4" operator="containsText" text="Not achieved">
      <formula>NOT(ISERROR(SEARCH("Not achieved",BF7)))</formula>
    </cfRule>
    <cfRule type="containsText" dxfId="371" priority="5" operator="containsText" text="Achieved">
      <formula>NOT(ISERROR(SEARCH("Achieved",BF7)))</formula>
    </cfRule>
  </conditionalFormatting>
  <pageMargins left="0.70866141732283472" right="0.70866141732283472" top="0.74803149606299213" bottom="0.74803149606299213" header="0.31496062992125984" footer="0.31496062992125984"/>
  <pageSetup paperSize="8" scale="34" orientation="landscape" r:id="rId1"/>
  <headerFooter>
    <oddFooter>&amp;F</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13661-4861-4564-8EB1-AE0E8E225A07}">
  <sheetPr>
    <tabColor rgb="FF92D050"/>
    <pageSetUpPr fitToPage="1"/>
  </sheetPr>
  <dimension ref="A1:BH28"/>
  <sheetViews>
    <sheetView tabSelected="1" topLeftCell="A16" zoomScale="75" zoomScaleNormal="75" workbookViewId="0">
      <selection activeCell="AT16" sqref="AT16"/>
    </sheetView>
  </sheetViews>
  <sheetFormatPr defaultColWidth="9.140625" defaultRowHeight="12" x14ac:dyDescent="0.2"/>
  <cols>
    <col min="1" max="1" width="12.140625" style="21" customWidth="1"/>
    <col min="2" max="2" width="10.5703125" style="21" customWidth="1"/>
    <col min="3" max="3" width="4.42578125" style="34" customWidth="1"/>
    <col min="4" max="4" width="14.5703125" style="21" customWidth="1"/>
    <col min="5" max="5" width="15.85546875" style="21" customWidth="1"/>
    <col min="6" max="6" width="13.85546875" style="21" customWidth="1"/>
    <col min="7" max="7" width="9.140625" style="95" customWidth="1"/>
    <col min="8" max="8" width="9.140625" style="21" customWidth="1"/>
    <col min="9" max="9" width="12" style="21" customWidth="1"/>
    <col min="10" max="10" width="8.42578125" style="21" hidden="1" customWidth="1"/>
    <col min="11" max="11" width="6.42578125" style="34" hidden="1" customWidth="1"/>
    <col min="12" max="12" width="8.5703125" style="37" customWidth="1"/>
    <col min="13" max="13" width="15.140625" style="37" customWidth="1"/>
    <col min="14" max="14" width="12.42578125" style="21" customWidth="1"/>
    <col min="15" max="15" width="10.85546875" style="21" customWidth="1"/>
    <col min="16" max="16" width="10.7109375" style="21" customWidth="1"/>
    <col min="17" max="17" width="10.140625" style="21" customWidth="1"/>
    <col min="18" max="21" width="15.140625" style="655" customWidth="1"/>
    <col min="22" max="22" width="12.140625" style="33" hidden="1" customWidth="1"/>
    <col min="23" max="23" width="16.28515625" style="24" customWidth="1"/>
    <col min="24" max="24" width="11.85546875" style="21" customWidth="1"/>
    <col min="25" max="25" width="16" style="21" customWidth="1"/>
    <col min="26" max="26" width="14.28515625" style="21" customWidth="1"/>
    <col min="27" max="27" width="20.7109375" style="21" customWidth="1"/>
    <col min="28" max="28" width="6.7109375" style="21" customWidth="1"/>
    <col min="29" max="29" width="13.7109375" style="21" customWidth="1"/>
    <col min="30" max="30" width="20.7109375" style="21" customWidth="1"/>
    <col min="31" max="31" width="6.7109375" style="21" customWidth="1"/>
    <col min="32" max="32" width="14.140625" style="21" customWidth="1"/>
    <col min="33" max="33" width="20.7109375" style="21" customWidth="1"/>
    <col min="34" max="34" width="6.7109375" style="21" customWidth="1"/>
    <col min="35" max="35" width="14.140625" style="21" customWidth="1"/>
    <col min="36" max="36" width="21.140625" style="21" customWidth="1"/>
    <col min="37" max="37" width="6.7109375" style="21" customWidth="1"/>
    <col min="38" max="38" width="15.7109375" style="21" customWidth="1"/>
    <col min="39" max="39" width="6.7109375" style="21" customWidth="1"/>
    <col min="40" max="40" width="19" style="21" customWidth="1"/>
    <col min="41" max="41" width="17.7109375" style="21" customWidth="1"/>
    <col min="42" max="42" width="13.140625" style="21" customWidth="1"/>
    <col min="43" max="43" width="10.28515625" style="21" customWidth="1"/>
    <col min="44" max="44" width="14.5703125" style="21" customWidth="1"/>
    <col min="45" max="45" width="10.5703125" style="21" customWidth="1"/>
    <col min="46" max="46" width="25" style="21" customWidth="1"/>
    <col min="47" max="50" width="0" style="21" hidden="1" customWidth="1"/>
    <col min="51" max="51" width="9.85546875" style="21" hidden="1" customWidth="1"/>
    <col min="52" max="52" width="40.28515625" style="21" hidden="1" customWidth="1"/>
    <col min="53" max="53" width="34.28515625" style="21" hidden="1" customWidth="1"/>
    <col min="54" max="54" width="27.28515625" style="21" hidden="1" customWidth="1"/>
    <col min="55" max="55" width="14" style="21" customWidth="1"/>
    <col min="56" max="56" width="40.28515625" style="21" hidden="1" customWidth="1"/>
    <col min="57" max="57" width="31.140625" style="21" hidden="1" customWidth="1"/>
    <col min="58" max="58" width="23.42578125" style="21" hidden="1" customWidth="1"/>
    <col min="59" max="59" width="19.42578125" style="482" hidden="1" customWidth="1"/>
    <col min="60" max="60" width="15.85546875" style="21" customWidth="1"/>
    <col min="61" max="61" width="36.140625" style="21" customWidth="1"/>
    <col min="62" max="16384" width="9.140625" style="21"/>
  </cols>
  <sheetData>
    <row r="1" spans="1:60" s="23" customFormat="1" ht="12.75" thickBot="1" x14ac:dyDescent="0.3">
      <c r="A1" s="765" t="s">
        <v>95</v>
      </c>
      <c r="B1" s="766"/>
      <c r="C1" s="766"/>
      <c r="D1" s="766"/>
      <c r="E1" s="766"/>
      <c r="F1" s="766"/>
      <c r="G1" s="766"/>
      <c r="H1" s="766"/>
      <c r="I1" s="766"/>
      <c r="J1" s="766"/>
      <c r="K1" s="766"/>
      <c r="L1" s="214" t="s">
        <v>133</v>
      </c>
      <c r="M1" s="499"/>
      <c r="N1" s="214"/>
      <c r="O1" s="214"/>
      <c r="P1" s="214"/>
      <c r="Q1" s="214"/>
      <c r="R1" s="514"/>
      <c r="S1" s="514"/>
      <c r="T1" s="514"/>
      <c r="U1" s="514"/>
      <c r="V1" s="31"/>
      <c r="W1" s="214"/>
      <c r="X1" s="214"/>
      <c r="Y1" s="26"/>
      <c r="Z1" s="60"/>
      <c r="AA1" s="60"/>
      <c r="AB1" s="60"/>
      <c r="AC1" s="60"/>
      <c r="AD1" s="60"/>
      <c r="AE1" s="60"/>
      <c r="AF1" s="60"/>
      <c r="AG1" s="60"/>
      <c r="AH1" s="60"/>
      <c r="AI1" s="60"/>
      <c r="AJ1" s="60"/>
      <c r="AK1" s="60"/>
      <c r="AL1" s="60"/>
      <c r="AM1" s="60"/>
      <c r="AN1" s="60"/>
      <c r="AO1" s="60"/>
      <c r="AP1" s="60"/>
      <c r="AQ1" s="60"/>
      <c r="AR1" s="60"/>
      <c r="AS1" s="60"/>
      <c r="AT1" s="60"/>
      <c r="BC1" s="662"/>
      <c r="BG1" s="480"/>
    </row>
    <row r="2" spans="1:60" s="23" customFormat="1" ht="24" customHeight="1" x14ac:dyDescent="0.25">
      <c r="A2" s="767" t="s">
        <v>6</v>
      </c>
      <c r="B2" s="768" t="s">
        <v>92</v>
      </c>
      <c r="C2" s="769" t="s">
        <v>7</v>
      </c>
      <c r="D2" s="770"/>
      <c r="E2" s="768" t="s">
        <v>94</v>
      </c>
      <c r="F2" s="768" t="s">
        <v>93</v>
      </c>
      <c r="G2" s="895" t="s">
        <v>8</v>
      </c>
      <c r="H2" s="208" t="s">
        <v>183</v>
      </c>
      <c r="I2" s="768" t="s">
        <v>9</v>
      </c>
      <c r="J2" s="769" t="s">
        <v>10</v>
      </c>
      <c r="K2" s="770"/>
      <c r="L2" s="906" t="s">
        <v>96</v>
      </c>
      <c r="M2" s="907"/>
      <c r="N2" s="910" t="s">
        <v>97</v>
      </c>
      <c r="O2" s="904" t="s">
        <v>11</v>
      </c>
      <c r="P2" s="904" t="s">
        <v>12</v>
      </c>
      <c r="Q2" s="904" t="s">
        <v>483</v>
      </c>
      <c r="R2" s="903" t="s">
        <v>13</v>
      </c>
      <c r="S2" s="903" t="s">
        <v>100</v>
      </c>
      <c r="T2" s="903" t="s">
        <v>99</v>
      </c>
      <c r="U2" s="903" t="s">
        <v>101</v>
      </c>
      <c r="V2" s="904" t="s">
        <v>98</v>
      </c>
      <c r="W2" s="904"/>
      <c r="X2" s="904"/>
      <c r="Y2" s="905" t="s">
        <v>102</v>
      </c>
      <c r="Z2" s="834" t="s">
        <v>309</v>
      </c>
      <c r="AA2" s="835"/>
      <c r="AB2" s="836"/>
      <c r="AC2" s="834" t="s">
        <v>312</v>
      </c>
      <c r="AD2" s="835"/>
      <c r="AE2" s="836"/>
      <c r="AF2" s="874" t="s">
        <v>313</v>
      </c>
      <c r="AG2" s="835"/>
      <c r="AH2" s="875"/>
      <c r="AI2" s="874" t="s">
        <v>514</v>
      </c>
      <c r="AJ2" s="835"/>
      <c r="AK2" s="875"/>
      <c r="AL2" s="896" t="s">
        <v>520</v>
      </c>
      <c r="AM2" s="897"/>
      <c r="AN2" s="897"/>
      <c r="AO2" s="897"/>
      <c r="AP2" s="897"/>
      <c r="AQ2" s="897"/>
      <c r="AR2" s="897"/>
      <c r="AS2" s="897"/>
      <c r="AT2" s="898"/>
      <c r="AU2" s="777" t="s">
        <v>669</v>
      </c>
      <c r="AV2" s="778"/>
      <c r="AW2" s="778"/>
      <c r="AX2" s="778"/>
      <c r="AY2" s="778"/>
      <c r="AZ2" s="778"/>
      <c r="BA2" s="778"/>
      <c r="BB2" s="778"/>
      <c r="BC2" s="778"/>
      <c r="BD2" s="778"/>
      <c r="BE2" s="778"/>
      <c r="BF2" s="779"/>
      <c r="BG2" s="480"/>
    </row>
    <row r="3" spans="1:60" s="23" customFormat="1" ht="60" x14ac:dyDescent="0.25">
      <c r="A3" s="767"/>
      <c r="B3" s="768"/>
      <c r="C3" s="771"/>
      <c r="D3" s="772"/>
      <c r="E3" s="768"/>
      <c r="F3" s="768"/>
      <c r="G3" s="895"/>
      <c r="H3" s="208"/>
      <c r="I3" s="768"/>
      <c r="J3" s="771"/>
      <c r="K3" s="772"/>
      <c r="L3" s="908"/>
      <c r="M3" s="909"/>
      <c r="N3" s="911"/>
      <c r="O3" s="904"/>
      <c r="P3" s="904"/>
      <c r="Q3" s="904"/>
      <c r="R3" s="903"/>
      <c r="S3" s="903"/>
      <c r="T3" s="903"/>
      <c r="U3" s="903"/>
      <c r="V3" s="219" t="s">
        <v>232</v>
      </c>
      <c r="W3" s="219" t="s">
        <v>233</v>
      </c>
      <c r="X3" s="219" t="s">
        <v>234</v>
      </c>
      <c r="Y3" s="905"/>
      <c r="Z3" s="66" t="s">
        <v>310</v>
      </c>
      <c r="AA3" s="84" t="s">
        <v>322</v>
      </c>
      <c r="AB3" s="67" t="s">
        <v>311</v>
      </c>
      <c r="AC3" s="66" t="s">
        <v>310</v>
      </c>
      <c r="AD3" s="84" t="s">
        <v>322</v>
      </c>
      <c r="AE3" s="67" t="s">
        <v>311</v>
      </c>
      <c r="AF3" s="65" t="s">
        <v>310</v>
      </c>
      <c r="AG3" s="84" t="s">
        <v>323</v>
      </c>
      <c r="AH3" s="79" t="s">
        <v>311</v>
      </c>
      <c r="AI3" s="65" t="s">
        <v>310</v>
      </c>
      <c r="AJ3" s="84" t="s">
        <v>323</v>
      </c>
      <c r="AK3" s="79" t="s">
        <v>311</v>
      </c>
      <c r="AL3" s="88" t="s">
        <v>310</v>
      </c>
      <c r="AM3" s="126" t="s">
        <v>311</v>
      </c>
      <c r="AN3" s="125" t="s">
        <v>314</v>
      </c>
      <c r="AO3" s="125" t="s">
        <v>315</v>
      </c>
      <c r="AP3" s="125" t="s">
        <v>316</v>
      </c>
      <c r="AQ3" s="125" t="s">
        <v>317</v>
      </c>
      <c r="AR3" s="125" t="s">
        <v>318</v>
      </c>
      <c r="AS3" s="125" t="s">
        <v>319</v>
      </c>
      <c r="AT3" s="124" t="s">
        <v>321</v>
      </c>
      <c r="AU3" s="200" t="s">
        <v>668</v>
      </c>
      <c r="AV3" s="200" t="s">
        <v>667</v>
      </c>
      <c r="AW3" s="200" t="s">
        <v>666</v>
      </c>
      <c r="AX3" s="200" t="s">
        <v>665</v>
      </c>
      <c r="AY3" s="199" t="s">
        <v>664</v>
      </c>
      <c r="AZ3" s="199" t="s">
        <v>663</v>
      </c>
      <c r="BA3" s="199" t="s">
        <v>662</v>
      </c>
      <c r="BB3" s="199" t="s">
        <v>661</v>
      </c>
      <c r="BC3" s="199" t="s">
        <v>660</v>
      </c>
      <c r="BD3" s="199" t="s">
        <v>659</v>
      </c>
      <c r="BE3" s="199" t="s">
        <v>658</v>
      </c>
      <c r="BF3" s="199" t="s">
        <v>657</v>
      </c>
      <c r="BG3" s="480"/>
    </row>
    <row r="4" spans="1:60" s="23" customFormat="1" ht="348" x14ac:dyDescent="0.25">
      <c r="A4" s="123" t="s">
        <v>482</v>
      </c>
      <c r="B4" s="122" t="s">
        <v>65</v>
      </c>
      <c r="C4" s="849">
        <v>6</v>
      </c>
      <c r="D4" s="786" t="s">
        <v>481</v>
      </c>
      <c r="E4" s="786" t="s">
        <v>480</v>
      </c>
      <c r="F4" s="810" t="s">
        <v>475</v>
      </c>
      <c r="G4" s="900" t="s">
        <v>67</v>
      </c>
      <c r="H4" s="810" t="s">
        <v>479</v>
      </c>
      <c r="I4" s="25" t="s">
        <v>478</v>
      </c>
      <c r="J4" s="121" t="s">
        <v>285</v>
      </c>
      <c r="K4" s="108">
        <v>105</v>
      </c>
      <c r="L4" s="667" t="s">
        <v>477</v>
      </c>
      <c r="M4" s="667" t="s">
        <v>476</v>
      </c>
      <c r="N4" s="810" t="s">
        <v>475</v>
      </c>
      <c r="O4" s="810" t="s">
        <v>29</v>
      </c>
      <c r="P4" s="810" t="s">
        <v>30</v>
      </c>
      <c r="Q4" s="912">
        <v>44742</v>
      </c>
      <c r="R4" s="656" t="s">
        <v>474</v>
      </c>
      <c r="S4" s="656" t="str">
        <f>R4</f>
        <v xml:space="preserve">42 youth in approved CETA programme
</v>
      </c>
      <c r="T4" s="656" t="str">
        <f>S4</f>
        <v xml:space="preserve">42 youth in approved CETA programme
</v>
      </c>
      <c r="U4" s="656" t="str">
        <f>T4</f>
        <v xml:space="preserve">42 youth in approved CETA programme
</v>
      </c>
      <c r="V4" s="32">
        <f>1025062.5</f>
        <v>1025062.5</v>
      </c>
      <c r="W4" s="109">
        <v>847048</v>
      </c>
      <c r="X4" s="25" t="s">
        <v>473</v>
      </c>
      <c r="Y4" s="479" t="s">
        <v>472</v>
      </c>
      <c r="Z4" s="75" t="s">
        <v>511</v>
      </c>
      <c r="AA4" s="74" t="s">
        <v>571</v>
      </c>
      <c r="AB4" s="103">
        <f>46/42</f>
        <v>1.0952380952380953</v>
      </c>
      <c r="AC4" s="75" t="str">
        <f>Z4</f>
        <v>Achieved Above Required Performance Metric</v>
      </c>
      <c r="AD4" s="74" t="s">
        <v>571</v>
      </c>
      <c r="AE4" s="103">
        <f>46/42</f>
        <v>1.0952380952380953</v>
      </c>
      <c r="AF4" s="75" t="str">
        <f>AC4</f>
        <v>Achieved Above Required Performance Metric</v>
      </c>
      <c r="AG4" s="74" t="s">
        <v>760</v>
      </c>
      <c r="AH4" s="102">
        <f>(32+22)/42</f>
        <v>1.2857142857142858</v>
      </c>
      <c r="AI4" s="75" t="str">
        <f>AF4</f>
        <v>Achieved Above Required Performance Metric</v>
      </c>
      <c r="AJ4" s="74" t="s">
        <v>760</v>
      </c>
      <c r="AK4" s="102">
        <f>(32+22)/42</f>
        <v>1.2857142857142858</v>
      </c>
      <c r="AL4" s="120" t="s">
        <v>766</v>
      </c>
      <c r="AM4" s="98">
        <f>(32+22)/40</f>
        <v>1.35</v>
      </c>
      <c r="AN4" s="101" t="s">
        <v>761</v>
      </c>
      <c r="AO4" s="101" t="s">
        <v>847</v>
      </c>
      <c r="AP4" s="101" t="s">
        <v>456</v>
      </c>
      <c r="AQ4" s="100" t="s">
        <v>23</v>
      </c>
      <c r="AR4" s="99">
        <v>1419935.52</v>
      </c>
      <c r="AS4" s="98">
        <f>AR4/W4</f>
        <v>1.6763341864923831</v>
      </c>
      <c r="AT4" s="97" t="s">
        <v>762</v>
      </c>
      <c r="AU4" s="197" t="s">
        <v>654</v>
      </c>
      <c r="AV4" s="196" t="s">
        <v>654</v>
      </c>
      <c r="AW4" s="434" t="s">
        <v>656</v>
      </c>
      <c r="AX4" s="196" t="s">
        <v>654</v>
      </c>
      <c r="AY4" s="169" t="s">
        <v>457</v>
      </c>
      <c r="AZ4" s="61" t="s">
        <v>763</v>
      </c>
      <c r="BA4" s="193" t="s">
        <v>764</v>
      </c>
      <c r="BB4" s="453" t="s">
        <v>765</v>
      </c>
      <c r="BC4" s="120" t="s">
        <v>766</v>
      </c>
      <c r="BD4" s="61" t="s">
        <v>767</v>
      </c>
      <c r="BE4" s="193" t="s">
        <v>764</v>
      </c>
      <c r="BF4" s="454" t="s">
        <v>768</v>
      </c>
      <c r="BG4" s="481" t="s">
        <v>859</v>
      </c>
    </row>
    <row r="5" spans="1:60" s="23" customFormat="1" ht="233.25" customHeight="1" x14ac:dyDescent="0.25">
      <c r="A5" s="106"/>
      <c r="B5" s="105"/>
      <c r="C5" s="850"/>
      <c r="D5" s="787"/>
      <c r="E5" s="787"/>
      <c r="F5" s="812"/>
      <c r="G5" s="901"/>
      <c r="H5" s="811"/>
      <c r="I5" s="205"/>
      <c r="J5" s="119" t="s">
        <v>282</v>
      </c>
      <c r="K5" s="212">
        <v>13</v>
      </c>
      <c r="L5" s="668" t="s">
        <v>470</v>
      </c>
      <c r="M5" s="668" t="s">
        <v>469</v>
      </c>
      <c r="N5" s="812"/>
      <c r="O5" s="811"/>
      <c r="P5" s="811"/>
      <c r="Q5" s="913"/>
      <c r="R5" s="657" t="s">
        <v>468</v>
      </c>
      <c r="S5" s="657" t="s">
        <v>468</v>
      </c>
      <c r="T5" s="657" t="s">
        <v>468</v>
      </c>
      <c r="U5" s="657" t="s">
        <v>468</v>
      </c>
      <c r="V5" s="228">
        <v>0</v>
      </c>
      <c r="W5" s="218">
        <v>0</v>
      </c>
      <c r="X5" s="205" t="s">
        <v>467</v>
      </c>
      <c r="Y5" s="210" t="s">
        <v>466</v>
      </c>
      <c r="Z5" s="89" t="s">
        <v>330</v>
      </c>
      <c r="AA5" s="74" t="s">
        <v>465</v>
      </c>
      <c r="AB5" s="103">
        <v>0</v>
      </c>
      <c r="AC5" s="89" t="s">
        <v>330</v>
      </c>
      <c r="AD5" s="74" t="str">
        <f>AA5</f>
        <v>Nil students on the bursary fund</v>
      </c>
      <c r="AE5" s="103">
        <v>0</v>
      </c>
      <c r="AF5" s="118" t="s">
        <v>330</v>
      </c>
      <c r="AG5" s="74" t="str">
        <f>AD5</f>
        <v>Nil students on the bursary fund</v>
      </c>
      <c r="AH5" s="102">
        <v>0</v>
      </c>
      <c r="AI5" s="118" t="s">
        <v>330</v>
      </c>
      <c r="AJ5" s="74" t="s">
        <v>465</v>
      </c>
      <c r="AK5" s="102">
        <v>0</v>
      </c>
      <c r="AL5" s="90" t="s">
        <v>464</v>
      </c>
      <c r="AM5" s="98">
        <v>0</v>
      </c>
      <c r="AN5" s="101" t="s">
        <v>521</v>
      </c>
      <c r="AO5" s="101" t="s">
        <v>769</v>
      </c>
      <c r="AP5" s="101" t="s">
        <v>456</v>
      </c>
      <c r="AQ5" s="100">
        <v>44834</v>
      </c>
      <c r="AR5" s="99">
        <v>0</v>
      </c>
      <c r="AS5" s="98">
        <v>0</v>
      </c>
      <c r="AT5" s="97" t="s">
        <v>522</v>
      </c>
      <c r="AU5" s="197" t="s">
        <v>654</v>
      </c>
      <c r="AV5" s="196" t="s">
        <v>654</v>
      </c>
      <c r="AW5" s="196" t="s">
        <v>654</v>
      </c>
      <c r="AX5" s="196" t="s">
        <v>654</v>
      </c>
      <c r="AY5" s="170" t="s">
        <v>330</v>
      </c>
      <c r="AZ5" s="193" t="s">
        <v>770</v>
      </c>
      <c r="BA5" s="193" t="s">
        <v>738</v>
      </c>
      <c r="BB5" s="193" t="s">
        <v>738</v>
      </c>
      <c r="BC5" s="170" t="s">
        <v>330</v>
      </c>
      <c r="BD5" s="193" t="s">
        <v>771</v>
      </c>
      <c r="BE5" s="193" t="s">
        <v>878</v>
      </c>
      <c r="BF5" s="193" t="s">
        <v>738</v>
      </c>
      <c r="BG5" s="481" t="s">
        <v>860</v>
      </c>
    </row>
    <row r="6" spans="1:60" s="23" customFormat="1" ht="196.5" customHeight="1" x14ac:dyDescent="0.25">
      <c r="A6" s="106"/>
      <c r="B6" s="105"/>
      <c r="C6" s="850"/>
      <c r="D6" s="787"/>
      <c r="E6" s="788"/>
      <c r="F6" s="205" t="s">
        <v>463</v>
      </c>
      <c r="G6" s="902"/>
      <c r="H6" s="812"/>
      <c r="I6" s="206"/>
      <c r="J6" s="117" t="s">
        <v>281</v>
      </c>
      <c r="K6" s="212">
        <v>13</v>
      </c>
      <c r="L6" s="669" t="s">
        <v>462</v>
      </c>
      <c r="M6" s="669" t="s">
        <v>461</v>
      </c>
      <c r="N6" s="206" t="str">
        <f>F6</f>
        <v>No of skills promotion or awareness events held</v>
      </c>
      <c r="O6" s="812"/>
      <c r="P6" s="812"/>
      <c r="Q6" s="914"/>
      <c r="R6" s="179" t="s">
        <v>460</v>
      </c>
      <c r="S6" s="179" t="str">
        <f>R6</f>
        <v>2 career seminars held
1 skills development forum held</v>
      </c>
      <c r="T6" s="179" t="str">
        <f>S6</f>
        <v>2 career seminars held
1 skills development forum held</v>
      </c>
      <c r="U6" s="179" t="str">
        <f>T6</f>
        <v>2 career seminars held
1 skills development forum held</v>
      </c>
      <c r="V6" s="228">
        <v>125000</v>
      </c>
      <c r="W6" s="20">
        <v>50000</v>
      </c>
      <c r="X6" s="206" t="s">
        <v>459</v>
      </c>
      <c r="Y6" s="27" t="s">
        <v>458</v>
      </c>
      <c r="Z6" s="127" t="s">
        <v>471</v>
      </c>
      <c r="AA6" s="74" t="s">
        <v>524</v>
      </c>
      <c r="AB6" s="103">
        <f>2/3</f>
        <v>0.66666666666666663</v>
      </c>
      <c r="AC6" s="75" t="s">
        <v>511</v>
      </c>
      <c r="AD6" s="74" t="s">
        <v>523</v>
      </c>
      <c r="AE6" s="103">
        <f>5/3</f>
        <v>1.6666666666666667</v>
      </c>
      <c r="AF6" s="116" t="s">
        <v>457</v>
      </c>
      <c r="AG6" s="74" t="s">
        <v>525</v>
      </c>
      <c r="AH6" s="102">
        <f>3/3</f>
        <v>1</v>
      </c>
      <c r="AI6" s="116" t="s">
        <v>457</v>
      </c>
      <c r="AJ6" s="74" t="s">
        <v>528</v>
      </c>
      <c r="AK6" s="102">
        <v>1</v>
      </c>
      <c r="AL6" s="120" t="s">
        <v>526</v>
      </c>
      <c r="AM6" s="98">
        <f>(9+4)/12</f>
        <v>1.0833333333333333</v>
      </c>
      <c r="AN6" s="101" t="s">
        <v>23</v>
      </c>
      <c r="AO6" s="101" t="s">
        <v>23</v>
      </c>
      <c r="AP6" s="101" t="s">
        <v>23</v>
      </c>
      <c r="AQ6" s="100" t="s">
        <v>23</v>
      </c>
      <c r="AR6" s="99">
        <v>49195.27</v>
      </c>
      <c r="AS6" s="98">
        <f>AR6/W6</f>
        <v>0.98390539999999993</v>
      </c>
      <c r="AT6" s="97" t="s">
        <v>455</v>
      </c>
      <c r="AU6" s="197" t="s">
        <v>654</v>
      </c>
      <c r="AV6" s="196" t="s">
        <v>654</v>
      </c>
      <c r="AW6" s="434" t="s">
        <v>656</v>
      </c>
      <c r="AX6" s="196" t="s">
        <v>654</v>
      </c>
      <c r="AY6" s="455" t="s">
        <v>501</v>
      </c>
      <c r="AZ6" s="61" t="s">
        <v>772</v>
      </c>
      <c r="BA6" s="193" t="s">
        <v>773</v>
      </c>
      <c r="BB6" s="193" t="s">
        <v>774</v>
      </c>
      <c r="BC6" s="456" t="s">
        <v>511</v>
      </c>
      <c r="BD6" s="61" t="s">
        <v>775</v>
      </c>
      <c r="BE6" s="193" t="s">
        <v>773</v>
      </c>
      <c r="BF6" s="454" t="s">
        <v>776</v>
      </c>
      <c r="BG6" s="481" t="s">
        <v>857</v>
      </c>
    </row>
    <row r="7" spans="1:60" s="152" customFormat="1" ht="408" x14ac:dyDescent="0.25">
      <c r="A7" s="144"/>
      <c r="B7" s="145"/>
      <c r="C7" s="899"/>
      <c r="D7" s="788"/>
      <c r="E7" s="172" t="s">
        <v>454</v>
      </c>
      <c r="F7" s="173" t="s">
        <v>453</v>
      </c>
      <c r="G7" s="174"/>
      <c r="H7" s="175"/>
      <c r="I7" s="175"/>
      <c r="J7" s="175" t="s">
        <v>394</v>
      </c>
      <c r="K7" s="176">
        <v>13</v>
      </c>
      <c r="L7" s="669" t="s">
        <v>1003</v>
      </c>
      <c r="M7" s="669" t="s">
        <v>452</v>
      </c>
      <c r="N7" s="175" t="str">
        <f>F7</f>
        <v>No of SMME's provided with capacitation and business development  support</v>
      </c>
      <c r="O7" s="177" t="s">
        <v>20</v>
      </c>
      <c r="P7" s="177" t="s">
        <v>19</v>
      </c>
      <c r="Q7" s="178">
        <v>44742</v>
      </c>
      <c r="R7" s="179" t="s">
        <v>23</v>
      </c>
      <c r="S7" s="179" t="s">
        <v>23</v>
      </c>
      <c r="T7" s="179" t="s">
        <v>23</v>
      </c>
      <c r="U7" s="179" t="str">
        <f>M7</f>
        <v>35 local SMME's participating in capacitation programme</v>
      </c>
      <c r="V7" s="180">
        <v>0</v>
      </c>
      <c r="W7" s="181">
        <v>0</v>
      </c>
      <c r="X7" s="175" t="s">
        <v>451</v>
      </c>
      <c r="Y7" s="182" t="s">
        <v>450</v>
      </c>
      <c r="Z7" s="915" t="s">
        <v>449</v>
      </c>
      <c r="AA7" s="916"/>
      <c r="AB7" s="917"/>
      <c r="AC7" s="915" t="s">
        <v>449</v>
      </c>
      <c r="AD7" s="916"/>
      <c r="AE7" s="917"/>
      <c r="AF7" s="915" t="str">
        <f>AC7</f>
        <v>n/a - no movement required in period</v>
      </c>
      <c r="AG7" s="916"/>
      <c r="AH7" s="917"/>
      <c r="AI7" s="183" t="s">
        <v>501</v>
      </c>
      <c r="AJ7" s="184" t="s">
        <v>527</v>
      </c>
      <c r="AK7" s="185">
        <v>1</v>
      </c>
      <c r="AL7" s="186" t="s">
        <v>564</v>
      </c>
      <c r="AM7" s="147">
        <f>35/35</f>
        <v>1</v>
      </c>
      <c r="AN7" s="148" t="s">
        <v>23</v>
      </c>
      <c r="AO7" s="148" t="s">
        <v>23</v>
      </c>
      <c r="AP7" s="148" t="s">
        <v>23</v>
      </c>
      <c r="AQ7" s="149" t="s">
        <v>23</v>
      </c>
      <c r="AR7" s="150">
        <v>0</v>
      </c>
      <c r="AS7" s="147">
        <v>0</v>
      </c>
      <c r="AT7" s="151" t="s">
        <v>448</v>
      </c>
      <c r="AU7" s="197" t="s">
        <v>654</v>
      </c>
      <c r="AV7" s="196" t="s">
        <v>654</v>
      </c>
      <c r="AW7" s="434" t="s">
        <v>656</v>
      </c>
      <c r="AX7" s="430" t="s">
        <v>654</v>
      </c>
      <c r="AY7" s="455" t="s">
        <v>501</v>
      </c>
      <c r="AZ7" s="184" t="s">
        <v>777</v>
      </c>
      <c r="BA7" s="193" t="s">
        <v>778</v>
      </c>
      <c r="BB7" s="453" t="s">
        <v>779</v>
      </c>
      <c r="BC7" s="455" t="s">
        <v>501</v>
      </c>
      <c r="BD7" s="184" t="s">
        <v>777</v>
      </c>
      <c r="BE7" s="193" t="s">
        <v>885</v>
      </c>
      <c r="BF7" s="454" t="s">
        <v>779</v>
      </c>
      <c r="BG7" s="481" t="s">
        <v>858</v>
      </c>
    </row>
    <row r="8" spans="1:60" s="23" customFormat="1" ht="409.5" x14ac:dyDescent="0.25">
      <c r="A8" s="106"/>
      <c r="B8" s="105"/>
      <c r="C8" s="849">
        <v>7</v>
      </c>
      <c r="D8" s="786" t="s">
        <v>447</v>
      </c>
      <c r="E8" s="786" t="s">
        <v>446</v>
      </c>
      <c r="F8" s="810" t="s">
        <v>445</v>
      </c>
      <c r="G8" s="229" t="s">
        <v>16</v>
      </c>
      <c r="H8" s="216" t="s">
        <v>49</v>
      </c>
      <c r="I8" s="205"/>
      <c r="J8" s="918" t="s">
        <v>285</v>
      </c>
      <c r="K8" s="866">
        <v>392</v>
      </c>
      <c r="L8" s="670" t="s">
        <v>444</v>
      </c>
      <c r="M8" s="670" t="s">
        <v>443</v>
      </c>
      <c r="N8" s="810" t="str">
        <f>F8</f>
        <v xml:space="preserve">No of jobs and work opportunities facilitated for CHD residents and unemployed critical skills graduates </v>
      </c>
      <c r="O8" s="810" t="s">
        <v>29</v>
      </c>
      <c r="P8" s="810" t="s">
        <v>30</v>
      </c>
      <c r="Q8" s="912">
        <v>44742</v>
      </c>
      <c r="R8" s="656" t="str">
        <f>M8</f>
        <v xml:space="preserve">13 jobs or work opportunities targetted at youth  in internship programme </v>
      </c>
      <c r="S8" s="656" t="str">
        <f t="shared" ref="S8:U9" si="0">R8</f>
        <v xml:space="preserve">13 jobs or work opportunities targetted at youth  in internship programme </v>
      </c>
      <c r="T8" s="656" t="str">
        <f t="shared" si="0"/>
        <v xml:space="preserve">13 jobs or work opportunities targetted at youth  in internship programme </v>
      </c>
      <c r="U8" s="656" t="str">
        <f t="shared" si="0"/>
        <v xml:space="preserve">13 jobs or work opportunities targetted at youth  in internship programme </v>
      </c>
      <c r="V8" s="32">
        <v>0</v>
      </c>
      <c r="W8" s="109">
        <v>0</v>
      </c>
      <c r="X8" s="109" t="s">
        <v>442</v>
      </c>
      <c r="Y8" s="28" t="s">
        <v>441</v>
      </c>
      <c r="Z8" s="75" t="s">
        <v>511</v>
      </c>
      <c r="AA8" s="74" t="s">
        <v>845</v>
      </c>
      <c r="AB8" s="103">
        <f>14/13</f>
        <v>1.0769230769230769</v>
      </c>
      <c r="AC8" s="127" t="s">
        <v>471</v>
      </c>
      <c r="AD8" s="74" t="s">
        <v>846</v>
      </c>
      <c r="AE8" s="103">
        <f>12/13</f>
        <v>0.92307692307692313</v>
      </c>
      <c r="AF8" s="127" t="s">
        <v>471</v>
      </c>
      <c r="AG8" s="74" t="s">
        <v>848</v>
      </c>
      <c r="AH8" s="103">
        <f>12/13</f>
        <v>0.92307692307692313</v>
      </c>
      <c r="AI8" s="75" t="s">
        <v>511</v>
      </c>
      <c r="AJ8" s="74" t="s">
        <v>849</v>
      </c>
      <c r="AK8" s="103">
        <f>(9+11)/13</f>
        <v>1.5384615384615385</v>
      </c>
      <c r="AL8" s="70" t="s">
        <v>851</v>
      </c>
      <c r="AM8" s="98">
        <f>(13+9)/13</f>
        <v>1.6923076923076923</v>
      </c>
      <c r="AN8" s="101" t="s">
        <v>852</v>
      </c>
      <c r="AO8" s="101" t="s">
        <v>23</v>
      </c>
      <c r="AP8" s="101" t="s">
        <v>23</v>
      </c>
      <c r="AQ8" s="100" t="s">
        <v>23</v>
      </c>
      <c r="AR8" s="99">
        <v>0</v>
      </c>
      <c r="AS8" s="98" t="s">
        <v>23</v>
      </c>
      <c r="AT8" s="97" t="s">
        <v>850</v>
      </c>
      <c r="AU8" s="198" t="s">
        <v>656</v>
      </c>
      <c r="AV8" s="196" t="s">
        <v>654</v>
      </c>
      <c r="AW8" s="434" t="s">
        <v>656</v>
      </c>
      <c r="AX8" s="430" t="s">
        <v>654</v>
      </c>
      <c r="AY8" s="457" t="s">
        <v>471</v>
      </c>
      <c r="AZ8" s="61" t="s">
        <v>780</v>
      </c>
      <c r="BA8" s="193" t="s">
        <v>781</v>
      </c>
      <c r="BB8" s="458" t="s">
        <v>782</v>
      </c>
      <c r="BC8" s="483" t="s">
        <v>511</v>
      </c>
      <c r="BD8" s="61" t="s">
        <v>783</v>
      </c>
      <c r="BE8" s="193" t="s">
        <v>875</v>
      </c>
      <c r="BF8" s="458" t="s">
        <v>784</v>
      </c>
      <c r="BG8" s="481" t="s">
        <v>853</v>
      </c>
    </row>
    <row r="9" spans="1:60" s="23" customFormat="1" ht="348" customHeight="1" x14ac:dyDescent="0.25">
      <c r="A9" s="106"/>
      <c r="B9" s="105"/>
      <c r="C9" s="899"/>
      <c r="D9" s="788"/>
      <c r="E9" s="788"/>
      <c r="F9" s="812"/>
      <c r="G9" s="223" t="s">
        <v>16</v>
      </c>
      <c r="H9" s="205" t="s">
        <v>440</v>
      </c>
      <c r="I9" s="206"/>
      <c r="J9" s="919"/>
      <c r="K9" s="867"/>
      <c r="L9" s="668" t="s">
        <v>439</v>
      </c>
      <c r="M9" s="668" t="s">
        <v>438</v>
      </c>
      <c r="N9" s="812"/>
      <c r="O9" s="812"/>
      <c r="P9" s="812"/>
      <c r="Q9" s="914"/>
      <c r="R9" s="657" t="str">
        <f>M9</f>
        <v xml:space="preserve">100 jobs or EPWP work opportunities targetted realised from CHDA implemented projects </v>
      </c>
      <c r="S9" s="657" t="str">
        <f t="shared" si="0"/>
        <v xml:space="preserve">100 jobs or EPWP work opportunities targetted realised from CHDA implemented projects </v>
      </c>
      <c r="T9" s="657" t="str">
        <f t="shared" si="0"/>
        <v xml:space="preserve">100 jobs or EPWP work opportunities targetted realised from CHDA implemented projects </v>
      </c>
      <c r="U9" s="657" t="str">
        <f t="shared" si="0"/>
        <v xml:space="preserve">100 jobs or EPWP work opportunities targetted realised from CHDA implemented projects </v>
      </c>
      <c r="V9" s="228">
        <f>1987193.7</f>
        <v>1987193.7</v>
      </c>
      <c r="W9" s="218">
        <v>988680.96</v>
      </c>
      <c r="X9" s="205" t="s">
        <v>437</v>
      </c>
      <c r="Y9" s="210" t="s">
        <v>785</v>
      </c>
      <c r="Z9" s="89" t="s">
        <v>330</v>
      </c>
      <c r="AA9" s="74" t="s">
        <v>854</v>
      </c>
      <c r="AB9" s="103">
        <f>(20)/100</f>
        <v>0.2</v>
      </c>
      <c r="AC9" s="89" t="s">
        <v>330</v>
      </c>
      <c r="AD9" s="74" t="s">
        <v>854</v>
      </c>
      <c r="AE9" s="103">
        <v>0.2</v>
      </c>
      <c r="AF9" s="89" t="s">
        <v>330</v>
      </c>
      <c r="AG9" s="74" t="s">
        <v>855</v>
      </c>
      <c r="AH9" s="103">
        <v>0.2</v>
      </c>
      <c r="AI9" s="89" t="s">
        <v>330</v>
      </c>
      <c r="AJ9" s="74" t="s">
        <v>854</v>
      </c>
      <c r="AK9" s="103">
        <v>0.2</v>
      </c>
      <c r="AL9" s="89" t="s">
        <v>330</v>
      </c>
      <c r="AM9" s="98">
        <v>0.2</v>
      </c>
      <c r="AN9" s="101" t="s">
        <v>994</v>
      </c>
      <c r="AO9" s="101" t="s">
        <v>995</v>
      </c>
      <c r="AP9" s="101" t="s">
        <v>856</v>
      </c>
      <c r="AQ9" s="100" t="s">
        <v>495</v>
      </c>
      <c r="AR9" s="99">
        <v>1988538.48</v>
      </c>
      <c r="AS9" s="98">
        <f>AR9/W9</f>
        <v>2.0113045162718621</v>
      </c>
      <c r="AT9" s="97" t="s">
        <v>529</v>
      </c>
      <c r="AU9" s="198" t="s">
        <v>656</v>
      </c>
      <c r="AV9" s="434" t="s">
        <v>656</v>
      </c>
      <c r="AW9" s="434" t="s">
        <v>656</v>
      </c>
      <c r="AX9" s="196" t="s">
        <v>654</v>
      </c>
      <c r="AY9" s="170" t="s">
        <v>330</v>
      </c>
      <c r="AZ9" s="61" t="s">
        <v>786</v>
      </c>
      <c r="BA9" s="193" t="s">
        <v>787</v>
      </c>
      <c r="BB9" s="458" t="s">
        <v>788</v>
      </c>
      <c r="BC9" s="170" t="s">
        <v>330</v>
      </c>
      <c r="BD9" s="61" t="s">
        <v>789</v>
      </c>
      <c r="BE9" s="193" t="s">
        <v>874</v>
      </c>
      <c r="BF9" s="458" t="s">
        <v>788</v>
      </c>
      <c r="BG9" s="481" t="s">
        <v>861</v>
      </c>
    </row>
    <row r="10" spans="1:60" s="23" customFormat="1" ht="312" x14ac:dyDescent="0.25">
      <c r="A10" s="106"/>
      <c r="B10" s="105"/>
      <c r="C10" s="849">
        <v>8</v>
      </c>
      <c r="D10" s="837" t="s">
        <v>436</v>
      </c>
      <c r="E10" s="837" t="s">
        <v>435</v>
      </c>
      <c r="F10" s="809" t="s">
        <v>434</v>
      </c>
      <c r="G10" s="920" t="s">
        <v>16</v>
      </c>
      <c r="H10" s="810" t="s">
        <v>67</v>
      </c>
      <c r="I10" s="809" t="s">
        <v>433</v>
      </c>
      <c r="J10" s="921" t="s">
        <v>285</v>
      </c>
      <c r="K10" s="957" t="s">
        <v>40</v>
      </c>
      <c r="L10" s="671" t="s">
        <v>432</v>
      </c>
      <c r="M10" s="671" t="s">
        <v>431</v>
      </c>
      <c r="N10" s="810" t="str">
        <f>F10</f>
        <v>No of technical studies conducted to support high impact sustainable projects</v>
      </c>
      <c r="O10" s="809" t="s">
        <v>29</v>
      </c>
      <c r="P10" s="809" t="s">
        <v>30</v>
      </c>
      <c r="Q10" s="865">
        <v>44742</v>
      </c>
      <c r="R10" s="658" t="s">
        <v>23</v>
      </c>
      <c r="S10" s="658" t="s">
        <v>430</v>
      </c>
      <c r="T10" s="658" t="s">
        <v>23</v>
      </c>
      <c r="U10" s="658" t="s">
        <v>429</v>
      </c>
      <c r="V10" s="227">
        <v>0</v>
      </c>
      <c r="W10" s="217">
        <v>500000</v>
      </c>
      <c r="X10" s="204" t="s">
        <v>428</v>
      </c>
      <c r="Y10" s="209" t="s">
        <v>427</v>
      </c>
      <c r="Z10" s="928" t="s">
        <v>320</v>
      </c>
      <c r="AA10" s="929"/>
      <c r="AB10" s="930"/>
      <c r="AC10" s="88" t="s">
        <v>457</v>
      </c>
      <c r="AD10" s="74" t="s">
        <v>1001</v>
      </c>
      <c r="AE10" s="103">
        <v>1</v>
      </c>
      <c r="AF10" s="928" t="s">
        <v>320</v>
      </c>
      <c r="AG10" s="929"/>
      <c r="AH10" s="930"/>
      <c r="AI10" s="89" t="s">
        <v>330</v>
      </c>
      <c r="AJ10" s="74" t="s">
        <v>530</v>
      </c>
      <c r="AK10" s="103">
        <v>0</v>
      </c>
      <c r="AL10" s="90" t="s">
        <v>487</v>
      </c>
      <c r="AM10" s="98">
        <v>0</v>
      </c>
      <c r="AN10" s="101" t="s">
        <v>1000</v>
      </c>
      <c r="AO10" s="101" t="s">
        <v>790</v>
      </c>
      <c r="AP10" s="101" t="s">
        <v>484</v>
      </c>
      <c r="AQ10" s="100" t="s">
        <v>485</v>
      </c>
      <c r="AR10" s="99">
        <f>(24001.59*5)+123200</f>
        <v>243207.95</v>
      </c>
      <c r="AS10" s="98">
        <f>AR10/W10</f>
        <v>0.48641590000000001</v>
      </c>
      <c r="AT10" s="97" t="s">
        <v>489</v>
      </c>
      <c r="AU10" s="197" t="s">
        <v>654</v>
      </c>
      <c r="AV10" s="196" t="s">
        <v>654</v>
      </c>
      <c r="AW10" s="196" t="s">
        <v>654</v>
      </c>
      <c r="AX10" s="430" t="s">
        <v>654</v>
      </c>
      <c r="AY10" s="170" t="s">
        <v>330</v>
      </c>
      <c r="AZ10" s="137" t="s">
        <v>791</v>
      </c>
      <c r="BA10" s="193" t="s">
        <v>738</v>
      </c>
      <c r="BB10" s="193" t="s">
        <v>738</v>
      </c>
      <c r="BC10" s="170" t="s">
        <v>330</v>
      </c>
      <c r="BD10" s="61" t="s">
        <v>792</v>
      </c>
      <c r="BE10" s="193" t="s">
        <v>876</v>
      </c>
      <c r="BF10" s="193" t="s">
        <v>738</v>
      </c>
      <c r="BG10" s="481" t="s">
        <v>862</v>
      </c>
    </row>
    <row r="11" spans="1:60" s="152" customFormat="1" ht="216.75" customHeight="1" x14ac:dyDescent="0.25">
      <c r="A11" s="144"/>
      <c r="B11" s="145"/>
      <c r="C11" s="850"/>
      <c r="D11" s="837"/>
      <c r="E11" s="837"/>
      <c r="F11" s="809"/>
      <c r="G11" s="920"/>
      <c r="H11" s="811"/>
      <c r="I11" s="809"/>
      <c r="J11" s="921"/>
      <c r="K11" s="957"/>
      <c r="L11" s="672" t="s">
        <v>426</v>
      </c>
      <c r="M11" s="672" t="s">
        <v>425</v>
      </c>
      <c r="N11" s="811"/>
      <c r="O11" s="809"/>
      <c r="P11" s="809"/>
      <c r="Q11" s="958"/>
      <c r="R11" s="146" t="s">
        <v>23</v>
      </c>
      <c r="S11" s="146" t="s">
        <v>23</v>
      </c>
      <c r="T11" s="146" t="s">
        <v>424</v>
      </c>
      <c r="U11" s="146" t="s">
        <v>423</v>
      </c>
      <c r="V11" s="459">
        <v>0</v>
      </c>
      <c r="W11" s="460">
        <v>500000</v>
      </c>
      <c r="X11" s="461" t="s">
        <v>422</v>
      </c>
      <c r="Y11" s="462" t="s">
        <v>421</v>
      </c>
      <c r="Z11" s="915" t="s">
        <v>320</v>
      </c>
      <c r="AA11" s="916"/>
      <c r="AB11" s="917"/>
      <c r="AC11" s="915" t="s">
        <v>320</v>
      </c>
      <c r="AD11" s="916"/>
      <c r="AE11" s="917"/>
      <c r="AF11" s="463" t="s">
        <v>457</v>
      </c>
      <c r="AG11" s="464" t="s">
        <v>486</v>
      </c>
      <c r="AH11" s="465">
        <v>1</v>
      </c>
      <c r="AI11" s="466" t="s">
        <v>330</v>
      </c>
      <c r="AJ11" s="464" t="s">
        <v>531</v>
      </c>
      <c r="AK11" s="465">
        <v>0.25</v>
      </c>
      <c r="AL11" s="467" t="s">
        <v>1016</v>
      </c>
      <c r="AM11" s="147">
        <v>0.5</v>
      </c>
      <c r="AN11" s="148" t="s">
        <v>490</v>
      </c>
      <c r="AO11" s="148" t="s">
        <v>491</v>
      </c>
      <c r="AP11" s="148" t="s">
        <v>492</v>
      </c>
      <c r="AQ11" s="149" t="s">
        <v>532</v>
      </c>
      <c r="AR11" s="150">
        <f>35604+10000+513043.48</f>
        <v>558647.48</v>
      </c>
      <c r="AS11" s="147">
        <f>AR11/W11</f>
        <v>1.1172949599999999</v>
      </c>
      <c r="AT11" s="151" t="s">
        <v>793</v>
      </c>
      <c r="AU11" s="197" t="s">
        <v>654</v>
      </c>
      <c r="AV11" s="196" t="s">
        <v>654</v>
      </c>
      <c r="AW11" s="434" t="s">
        <v>656</v>
      </c>
      <c r="AX11" s="196" t="s">
        <v>654</v>
      </c>
      <c r="AY11" s="468" t="s">
        <v>330</v>
      </c>
      <c r="AZ11" s="184" t="s">
        <v>794</v>
      </c>
      <c r="BA11" s="193" t="s">
        <v>795</v>
      </c>
      <c r="BB11" s="193" t="s">
        <v>796</v>
      </c>
      <c r="BC11" s="468" t="s">
        <v>330</v>
      </c>
      <c r="BD11" s="61" t="s">
        <v>797</v>
      </c>
      <c r="BE11" s="193" t="s">
        <v>877</v>
      </c>
      <c r="BF11" s="193" t="s">
        <v>738</v>
      </c>
      <c r="BG11" s="481" t="s">
        <v>863</v>
      </c>
      <c r="BH11" s="693" t="s">
        <v>1017</v>
      </c>
    </row>
    <row r="12" spans="1:60" s="152" customFormat="1" ht="236.25" customHeight="1" x14ac:dyDescent="0.25">
      <c r="A12" s="144"/>
      <c r="B12" s="145"/>
      <c r="C12" s="850"/>
      <c r="D12" s="837"/>
      <c r="E12" s="837"/>
      <c r="F12" s="809"/>
      <c r="G12" s="920"/>
      <c r="H12" s="811"/>
      <c r="I12" s="809"/>
      <c r="J12" s="921"/>
      <c r="K12" s="957"/>
      <c r="L12" s="947" t="s">
        <v>420</v>
      </c>
      <c r="M12" s="947" t="s">
        <v>419</v>
      </c>
      <c r="N12" s="811"/>
      <c r="O12" s="809"/>
      <c r="P12" s="809"/>
      <c r="Q12" s="958"/>
      <c r="R12" s="146" t="s">
        <v>23</v>
      </c>
      <c r="S12" s="146" t="s">
        <v>23</v>
      </c>
      <c r="T12" s="146" t="s">
        <v>23</v>
      </c>
      <c r="U12" s="146" t="s">
        <v>418</v>
      </c>
      <c r="V12" s="950">
        <v>0</v>
      </c>
      <c r="W12" s="950">
        <v>6000000</v>
      </c>
      <c r="X12" s="953" t="s">
        <v>340</v>
      </c>
      <c r="Y12" s="955" t="s">
        <v>411</v>
      </c>
      <c r="Z12" s="940" t="s">
        <v>320</v>
      </c>
      <c r="AA12" s="941"/>
      <c r="AB12" s="942"/>
      <c r="AC12" s="940" t="s">
        <v>320</v>
      </c>
      <c r="AD12" s="941"/>
      <c r="AE12" s="942"/>
      <c r="AF12" s="940" t="s">
        <v>320</v>
      </c>
      <c r="AG12" s="941"/>
      <c r="AH12" s="942"/>
      <c r="AI12" s="978" t="s">
        <v>457</v>
      </c>
      <c r="AJ12" s="153" t="s">
        <v>533</v>
      </c>
      <c r="AK12" s="664">
        <v>1</v>
      </c>
      <c r="AL12" s="925" t="s">
        <v>1019</v>
      </c>
      <c r="AM12" s="154">
        <v>1</v>
      </c>
      <c r="AN12" s="155" t="s">
        <v>23</v>
      </c>
      <c r="AO12" s="155" t="s">
        <v>23</v>
      </c>
      <c r="AP12" s="155" t="s">
        <v>23</v>
      </c>
      <c r="AQ12" s="156" t="s">
        <v>23</v>
      </c>
      <c r="AR12" s="944">
        <v>5668768.2300000004</v>
      </c>
      <c r="AS12" s="922">
        <f>AR12/W12</f>
        <v>0.94479470500000007</v>
      </c>
      <c r="AT12" s="931" t="s">
        <v>493</v>
      </c>
      <c r="AU12" s="197" t="s">
        <v>654</v>
      </c>
      <c r="AV12" s="196" t="s">
        <v>654</v>
      </c>
      <c r="AW12" s="196" t="s">
        <v>654</v>
      </c>
      <c r="AX12" s="430" t="s">
        <v>654</v>
      </c>
      <c r="AY12" s="169" t="s">
        <v>457</v>
      </c>
      <c r="AZ12" s="184" t="s">
        <v>798</v>
      </c>
      <c r="BA12" s="193" t="s">
        <v>738</v>
      </c>
      <c r="BB12" s="193" t="s">
        <v>738</v>
      </c>
      <c r="BC12" s="169" t="s">
        <v>457</v>
      </c>
      <c r="BD12" s="194" t="s">
        <v>799</v>
      </c>
      <c r="BE12" s="193" t="s">
        <v>878</v>
      </c>
      <c r="BF12" s="193" t="s">
        <v>738</v>
      </c>
      <c r="BG12" s="481" t="s">
        <v>864</v>
      </c>
      <c r="BH12" s="693" t="s">
        <v>1020</v>
      </c>
    </row>
    <row r="13" spans="1:60" s="152" customFormat="1" ht="207" customHeight="1" x14ac:dyDescent="0.25">
      <c r="A13" s="144"/>
      <c r="B13" s="145"/>
      <c r="C13" s="850"/>
      <c r="D13" s="837"/>
      <c r="E13" s="837"/>
      <c r="F13" s="809"/>
      <c r="G13" s="920"/>
      <c r="H13" s="811"/>
      <c r="I13" s="809"/>
      <c r="J13" s="921"/>
      <c r="K13" s="957"/>
      <c r="L13" s="948"/>
      <c r="M13" s="948"/>
      <c r="N13" s="811"/>
      <c r="O13" s="809"/>
      <c r="P13" s="809"/>
      <c r="Q13" s="958"/>
      <c r="R13" s="146" t="s">
        <v>23</v>
      </c>
      <c r="S13" s="146" t="s">
        <v>23</v>
      </c>
      <c r="T13" s="146" t="s">
        <v>23</v>
      </c>
      <c r="U13" s="146" t="s">
        <v>417</v>
      </c>
      <c r="V13" s="951"/>
      <c r="W13" s="951"/>
      <c r="X13" s="811"/>
      <c r="Y13" s="793"/>
      <c r="Z13" s="934" t="s">
        <v>320</v>
      </c>
      <c r="AA13" s="935"/>
      <c r="AB13" s="936"/>
      <c r="AC13" s="934" t="s">
        <v>320</v>
      </c>
      <c r="AD13" s="935"/>
      <c r="AE13" s="936"/>
      <c r="AF13" s="934" t="s">
        <v>320</v>
      </c>
      <c r="AG13" s="935"/>
      <c r="AH13" s="936"/>
      <c r="AI13" s="979"/>
      <c r="AJ13" s="157" t="s">
        <v>865</v>
      </c>
      <c r="AK13" s="161">
        <v>1</v>
      </c>
      <c r="AL13" s="926"/>
      <c r="AM13" s="158">
        <v>1</v>
      </c>
      <c r="AN13" s="159" t="s">
        <v>23</v>
      </c>
      <c r="AO13" s="159" t="s">
        <v>23</v>
      </c>
      <c r="AP13" s="159" t="s">
        <v>23</v>
      </c>
      <c r="AQ13" s="160" t="s">
        <v>23</v>
      </c>
      <c r="AR13" s="945"/>
      <c r="AS13" s="923"/>
      <c r="AT13" s="932"/>
      <c r="AU13" s="197" t="s">
        <v>654</v>
      </c>
      <c r="AV13" s="196" t="s">
        <v>654</v>
      </c>
      <c r="AW13" s="434" t="s">
        <v>656</v>
      </c>
      <c r="AX13" s="430" t="s">
        <v>654</v>
      </c>
      <c r="AY13" s="468" t="s">
        <v>330</v>
      </c>
      <c r="AZ13" s="184" t="s">
        <v>800</v>
      </c>
      <c r="BA13" s="193" t="s">
        <v>801</v>
      </c>
      <c r="BB13" s="454" t="s">
        <v>802</v>
      </c>
      <c r="BC13" s="455" t="s">
        <v>457</v>
      </c>
      <c r="BD13" s="184" t="s">
        <v>803</v>
      </c>
      <c r="BE13" s="193" t="s">
        <v>879</v>
      </c>
      <c r="BF13" s="454" t="s">
        <v>802</v>
      </c>
      <c r="BG13" s="481" t="s">
        <v>866</v>
      </c>
    </row>
    <row r="14" spans="1:60" s="152" customFormat="1" ht="209.25" customHeight="1" x14ac:dyDescent="0.25">
      <c r="A14" s="144"/>
      <c r="B14" s="145"/>
      <c r="C14" s="850"/>
      <c r="D14" s="837"/>
      <c r="E14" s="837"/>
      <c r="F14" s="809"/>
      <c r="G14" s="920"/>
      <c r="H14" s="811"/>
      <c r="I14" s="809"/>
      <c r="J14" s="921"/>
      <c r="K14" s="957"/>
      <c r="L14" s="949"/>
      <c r="M14" s="949"/>
      <c r="N14" s="811"/>
      <c r="O14" s="809"/>
      <c r="P14" s="809"/>
      <c r="Q14" s="958"/>
      <c r="R14" s="146" t="s">
        <v>23</v>
      </c>
      <c r="S14" s="146" t="s">
        <v>23</v>
      </c>
      <c r="T14" s="146" t="s">
        <v>23</v>
      </c>
      <c r="U14" s="146" t="s">
        <v>416</v>
      </c>
      <c r="V14" s="952"/>
      <c r="W14" s="952"/>
      <c r="X14" s="954"/>
      <c r="Y14" s="956"/>
      <c r="Z14" s="937" t="s">
        <v>320</v>
      </c>
      <c r="AA14" s="938"/>
      <c r="AB14" s="939"/>
      <c r="AC14" s="937" t="s">
        <v>320</v>
      </c>
      <c r="AD14" s="938"/>
      <c r="AE14" s="939"/>
      <c r="AF14" s="937" t="s">
        <v>320</v>
      </c>
      <c r="AG14" s="938"/>
      <c r="AH14" s="939"/>
      <c r="AI14" s="980"/>
      <c r="AJ14" s="162" t="s">
        <v>534</v>
      </c>
      <c r="AK14" s="663">
        <v>1</v>
      </c>
      <c r="AL14" s="927"/>
      <c r="AM14" s="163">
        <v>1</v>
      </c>
      <c r="AN14" s="164" t="s">
        <v>23</v>
      </c>
      <c r="AO14" s="164" t="s">
        <v>23</v>
      </c>
      <c r="AP14" s="164" t="s">
        <v>23</v>
      </c>
      <c r="AQ14" s="165" t="s">
        <v>23</v>
      </c>
      <c r="AR14" s="946"/>
      <c r="AS14" s="924"/>
      <c r="AT14" s="933"/>
      <c r="AU14" s="197" t="s">
        <v>654</v>
      </c>
      <c r="AV14" s="196" t="s">
        <v>654</v>
      </c>
      <c r="AW14" s="434" t="s">
        <v>656</v>
      </c>
      <c r="AX14" s="430" t="s">
        <v>654</v>
      </c>
      <c r="AY14" s="169" t="s">
        <v>457</v>
      </c>
      <c r="AZ14" s="184" t="s">
        <v>804</v>
      </c>
      <c r="BA14" s="435" t="s">
        <v>805</v>
      </c>
      <c r="BB14" s="193" t="s">
        <v>806</v>
      </c>
      <c r="BC14" s="169" t="s">
        <v>457</v>
      </c>
      <c r="BD14" s="184" t="s">
        <v>804</v>
      </c>
      <c r="BE14" s="61" t="s">
        <v>880</v>
      </c>
      <c r="BF14" s="193" t="s">
        <v>806</v>
      </c>
      <c r="BG14" s="481" t="s">
        <v>867</v>
      </c>
    </row>
    <row r="15" spans="1:60" s="23" customFormat="1" ht="264" x14ac:dyDescent="0.25">
      <c r="A15" s="106"/>
      <c r="B15" s="105"/>
      <c r="C15" s="899"/>
      <c r="D15" s="837"/>
      <c r="E15" s="837"/>
      <c r="F15" s="809"/>
      <c r="G15" s="920"/>
      <c r="H15" s="812"/>
      <c r="I15" s="809"/>
      <c r="J15" s="921"/>
      <c r="K15" s="957"/>
      <c r="L15" s="673" t="s">
        <v>415</v>
      </c>
      <c r="M15" s="673" t="s">
        <v>414</v>
      </c>
      <c r="N15" s="812"/>
      <c r="O15" s="809"/>
      <c r="P15" s="809"/>
      <c r="Q15" s="959"/>
      <c r="R15" s="659" t="s">
        <v>23</v>
      </c>
      <c r="S15" s="659" t="s">
        <v>23</v>
      </c>
      <c r="T15" s="659" t="s">
        <v>23</v>
      </c>
      <c r="U15" s="659" t="s">
        <v>413</v>
      </c>
      <c r="V15" s="114">
        <v>0</v>
      </c>
      <c r="W15" s="113">
        <v>500000</v>
      </c>
      <c r="X15" s="112" t="s">
        <v>412</v>
      </c>
      <c r="Y15" s="111" t="s">
        <v>411</v>
      </c>
      <c r="Z15" s="928" t="s">
        <v>320</v>
      </c>
      <c r="AA15" s="929"/>
      <c r="AB15" s="930"/>
      <c r="AC15" s="928" t="s">
        <v>320</v>
      </c>
      <c r="AD15" s="929"/>
      <c r="AE15" s="930"/>
      <c r="AF15" s="928" t="s">
        <v>320</v>
      </c>
      <c r="AG15" s="929"/>
      <c r="AH15" s="930"/>
      <c r="AI15" s="90" t="s">
        <v>535</v>
      </c>
      <c r="AJ15" s="137" t="s">
        <v>536</v>
      </c>
      <c r="AK15" s="166">
        <v>0</v>
      </c>
      <c r="AL15" s="90" t="s">
        <v>494</v>
      </c>
      <c r="AM15" s="98">
        <v>0</v>
      </c>
      <c r="AN15" s="101" t="s">
        <v>537</v>
      </c>
      <c r="AO15" s="101" t="s">
        <v>539</v>
      </c>
      <c r="AP15" s="101" t="s">
        <v>67</v>
      </c>
      <c r="AQ15" s="100" t="s">
        <v>532</v>
      </c>
      <c r="AR15" s="99">
        <v>0</v>
      </c>
      <c r="AS15" s="98">
        <v>0</v>
      </c>
      <c r="AT15" s="97" t="s">
        <v>538</v>
      </c>
      <c r="AU15" s="197" t="s">
        <v>654</v>
      </c>
      <c r="AV15" s="196" t="s">
        <v>654</v>
      </c>
      <c r="AW15" s="196" t="s">
        <v>654</v>
      </c>
      <c r="AX15" s="430" t="s">
        <v>654</v>
      </c>
      <c r="AY15" s="469" t="s">
        <v>535</v>
      </c>
      <c r="AZ15" s="137" t="s">
        <v>807</v>
      </c>
      <c r="BA15" s="193" t="s">
        <v>738</v>
      </c>
      <c r="BB15" s="193" t="s">
        <v>738</v>
      </c>
      <c r="BC15" s="469" t="s">
        <v>535</v>
      </c>
      <c r="BD15" s="137" t="s">
        <v>807</v>
      </c>
      <c r="BE15" s="193" t="s">
        <v>878</v>
      </c>
      <c r="BF15" s="193" t="s">
        <v>738</v>
      </c>
      <c r="BG15" s="480"/>
    </row>
    <row r="16" spans="1:60" s="23" customFormat="1" ht="372" x14ac:dyDescent="0.25">
      <c r="A16" s="106"/>
      <c r="B16" s="105"/>
      <c r="C16" s="786">
        <v>9</v>
      </c>
      <c r="D16" s="786" t="s">
        <v>410</v>
      </c>
      <c r="E16" s="837" t="s">
        <v>409</v>
      </c>
      <c r="F16" s="809" t="s">
        <v>405</v>
      </c>
      <c r="G16" s="920" t="s">
        <v>16</v>
      </c>
      <c r="H16" s="943" t="s">
        <v>67</v>
      </c>
      <c r="I16" s="809" t="s">
        <v>408</v>
      </c>
      <c r="J16" s="921" t="s">
        <v>285</v>
      </c>
      <c r="K16" s="224">
        <v>1</v>
      </c>
      <c r="L16" s="671" t="s">
        <v>407</v>
      </c>
      <c r="M16" s="671" t="s">
        <v>406</v>
      </c>
      <c r="N16" s="809" t="s">
        <v>405</v>
      </c>
      <c r="O16" s="809" t="s">
        <v>29</v>
      </c>
      <c r="P16" s="809" t="s">
        <v>30</v>
      </c>
      <c r="Q16" s="865">
        <v>44742</v>
      </c>
      <c r="R16" s="658" t="s">
        <v>23</v>
      </c>
      <c r="S16" s="658" t="s">
        <v>23</v>
      </c>
      <c r="T16" s="658" t="s">
        <v>23</v>
      </c>
      <c r="U16" s="658" t="str">
        <f>M16</f>
        <v xml:space="preserve">1 active  partnerships to support agroprocessing in the district </v>
      </c>
      <c r="V16" s="855">
        <v>0</v>
      </c>
      <c r="W16" s="972">
        <v>0</v>
      </c>
      <c r="X16" s="964" t="s">
        <v>404</v>
      </c>
      <c r="Y16" s="792" t="s">
        <v>403</v>
      </c>
      <c r="Z16" s="928" t="str">
        <f>Z14</f>
        <v xml:space="preserve">n/a - no movement due for the quarter </v>
      </c>
      <c r="AA16" s="929"/>
      <c r="AB16" s="930"/>
      <c r="AC16" s="928" t="str">
        <f>Z16</f>
        <v xml:space="preserve">n/a - no movement due for the quarter </v>
      </c>
      <c r="AD16" s="929"/>
      <c r="AE16" s="930"/>
      <c r="AF16" s="928" t="str">
        <f>AC16</f>
        <v xml:space="preserve">n/a - no movement due for the quarter </v>
      </c>
      <c r="AG16" s="929"/>
      <c r="AH16" s="930"/>
      <c r="AI16" s="142" t="s">
        <v>457</v>
      </c>
      <c r="AJ16" s="137" t="s">
        <v>1012</v>
      </c>
      <c r="AK16" s="143">
        <v>1</v>
      </c>
      <c r="AL16" s="115" t="s">
        <v>1021</v>
      </c>
      <c r="AM16" s="98">
        <v>1</v>
      </c>
      <c r="AN16" s="101" t="s">
        <v>23</v>
      </c>
      <c r="AO16" s="101" t="s">
        <v>23</v>
      </c>
      <c r="AP16" s="101" t="s">
        <v>23</v>
      </c>
      <c r="AQ16" s="100" t="s">
        <v>23</v>
      </c>
      <c r="AR16" s="99">
        <v>0</v>
      </c>
      <c r="AS16" s="98">
        <v>0</v>
      </c>
      <c r="AT16" s="97" t="s">
        <v>1025</v>
      </c>
      <c r="AU16" s="197" t="s">
        <v>654</v>
      </c>
      <c r="AV16" s="196" t="s">
        <v>654</v>
      </c>
      <c r="AW16" s="196" t="s">
        <v>654</v>
      </c>
      <c r="AX16" s="196" t="s">
        <v>654</v>
      </c>
      <c r="AY16" s="169" t="s">
        <v>457</v>
      </c>
      <c r="AZ16" s="61" t="s">
        <v>808</v>
      </c>
      <c r="BA16" s="193" t="s">
        <v>738</v>
      </c>
      <c r="BB16" s="193" t="s">
        <v>738</v>
      </c>
      <c r="BC16" s="169" t="s">
        <v>501</v>
      </c>
      <c r="BD16" s="61" t="s">
        <v>808</v>
      </c>
      <c r="BE16" s="193" t="s">
        <v>881</v>
      </c>
      <c r="BF16" s="193" t="s">
        <v>738</v>
      </c>
      <c r="BG16" s="481" t="s">
        <v>900</v>
      </c>
      <c r="BH16" s="692" t="s">
        <v>1014</v>
      </c>
    </row>
    <row r="17" spans="1:60" s="23" customFormat="1" ht="255" customHeight="1" x14ac:dyDescent="0.25">
      <c r="A17" s="106"/>
      <c r="B17" s="105"/>
      <c r="C17" s="787"/>
      <c r="D17" s="787"/>
      <c r="E17" s="837"/>
      <c r="F17" s="809"/>
      <c r="G17" s="920"/>
      <c r="H17" s="866"/>
      <c r="I17" s="809"/>
      <c r="J17" s="921"/>
      <c r="K17" s="110">
        <v>0</v>
      </c>
      <c r="L17" s="674" t="s">
        <v>402</v>
      </c>
      <c r="M17" s="674" t="s">
        <v>401</v>
      </c>
      <c r="N17" s="809"/>
      <c r="O17" s="809"/>
      <c r="P17" s="809"/>
      <c r="Q17" s="958"/>
      <c r="R17" s="660" t="s">
        <v>23</v>
      </c>
      <c r="S17" s="660" t="s">
        <v>23</v>
      </c>
      <c r="T17" s="660" t="s">
        <v>23</v>
      </c>
      <c r="U17" s="660" t="str">
        <f>M17</f>
        <v xml:space="preserve">1 active partnership to support waste economy in the district </v>
      </c>
      <c r="V17" s="855"/>
      <c r="W17" s="951"/>
      <c r="X17" s="965"/>
      <c r="Y17" s="793"/>
      <c r="Z17" s="928" t="str">
        <f>Z16</f>
        <v xml:space="preserve">n/a - no movement due for the quarter </v>
      </c>
      <c r="AA17" s="929"/>
      <c r="AB17" s="930"/>
      <c r="AC17" s="928" t="str">
        <f>AC16</f>
        <v xml:space="preserve">n/a - no movement due for the quarter </v>
      </c>
      <c r="AD17" s="929"/>
      <c r="AE17" s="930"/>
      <c r="AF17" s="928" t="str">
        <f>AF16</f>
        <v xml:space="preserve">n/a - no movement due for the quarter </v>
      </c>
      <c r="AG17" s="929"/>
      <c r="AH17" s="930"/>
      <c r="AI17" s="142" t="str">
        <f>AI16</f>
        <v>Achieved</v>
      </c>
      <c r="AJ17" s="137" t="s">
        <v>809</v>
      </c>
      <c r="AK17" s="143">
        <v>1</v>
      </c>
      <c r="AL17" s="115" t="s">
        <v>496</v>
      </c>
      <c r="AM17" s="98">
        <v>1</v>
      </c>
      <c r="AN17" s="101" t="s">
        <v>23</v>
      </c>
      <c r="AO17" s="101" t="s">
        <v>23</v>
      </c>
      <c r="AP17" s="101" t="s">
        <v>23</v>
      </c>
      <c r="AQ17" s="100" t="s">
        <v>23</v>
      </c>
      <c r="AR17" s="99">
        <v>0</v>
      </c>
      <c r="AS17" s="98">
        <v>0</v>
      </c>
      <c r="AT17" s="97" t="s">
        <v>810</v>
      </c>
      <c r="AU17" s="197" t="s">
        <v>654</v>
      </c>
      <c r="AV17" s="196" t="s">
        <v>654</v>
      </c>
      <c r="AW17" s="434" t="s">
        <v>656</v>
      </c>
      <c r="AX17" s="430" t="s">
        <v>654</v>
      </c>
      <c r="AY17" s="169" t="s">
        <v>457</v>
      </c>
      <c r="AZ17" s="194" t="s">
        <v>811</v>
      </c>
      <c r="BA17" s="193" t="s">
        <v>812</v>
      </c>
      <c r="BB17" s="193" t="s">
        <v>813</v>
      </c>
      <c r="BC17" s="169" t="s">
        <v>457</v>
      </c>
      <c r="BD17" s="194" t="s">
        <v>811</v>
      </c>
      <c r="BE17" s="193" t="s">
        <v>882</v>
      </c>
      <c r="BF17" s="193" t="s">
        <v>813</v>
      </c>
      <c r="BG17" s="481" t="s">
        <v>868</v>
      </c>
    </row>
    <row r="18" spans="1:60" s="23" customFormat="1" ht="92.25" customHeight="1" x14ac:dyDescent="0.25">
      <c r="A18" s="106"/>
      <c r="B18" s="105"/>
      <c r="C18" s="787"/>
      <c r="D18" s="787"/>
      <c r="E18" s="837"/>
      <c r="F18" s="809"/>
      <c r="G18" s="920"/>
      <c r="H18" s="866"/>
      <c r="I18" s="809"/>
      <c r="J18" s="921"/>
      <c r="K18" s="110">
        <v>0</v>
      </c>
      <c r="L18" s="674" t="s">
        <v>400</v>
      </c>
      <c r="M18" s="674" t="s">
        <v>399</v>
      </c>
      <c r="N18" s="809"/>
      <c r="O18" s="809"/>
      <c r="P18" s="809"/>
      <c r="Q18" s="958"/>
      <c r="R18" s="660" t="s">
        <v>23</v>
      </c>
      <c r="S18" s="660" t="s">
        <v>23</v>
      </c>
      <c r="T18" s="660" t="s">
        <v>23</v>
      </c>
      <c r="U18" s="660" t="str">
        <f>M18</f>
        <v xml:space="preserve">1 partner identified to support ICT/ digital economy initiative in the district </v>
      </c>
      <c r="V18" s="855"/>
      <c r="W18" s="951"/>
      <c r="X18" s="965"/>
      <c r="Y18" s="793"/>
      <c r="Z18" s="928" t="str">
        <f>Z17</f>
        <v xml:space="preserve">n/a - no movement due for the quarter </v>
      </c>
      <c r="AA18" s="929"/>
      <c r="AB18" s="930"/>
      <c r="AC18" s="928" t="str">
        <f>Z18</f>
        <v xml:space="preserve">n/a - no movement due for the quarter </v>
      </c>
      <c r="AD18" s="929"/>
      <c r="AE18" s="930"/>
      <c r="AF18" s="928" t="str">
        <f>AC18</f>
        <v xml:space="preserve">n/a - no movement due for the quarter </v>
      </c>
      <c r="AG18" s="929"/>
      <c r="AH18" s="929"/>
      <c r="AI18" s="138" t="s">
        <v>540</v>
      </c>
      <c r="AJ18" s="137" t="s">
        <v>541</v>
      </c>
      <c r="AK18" s="167">
        <v>0</v>
      </c>
      <c r="AL18" s="138" t="s">
        <v>498</v>
      </c>
      <c r="AM18" s="98">
        <v>0</v>
      </c>
      <c r="AN18" s="101" t="s">
        <v>497</v>
      </c>
      <c r="AO18" s="101" t="s">
        <v>814</v>
      </c>
      <c r="AP18" s="101" t="s">
        <v>67</v>
      </c>
      <c r="AQ18" s="100" t="s">
        <v>495</v>
      </c>
      <c r="AR18" s="99">
        <v>0</v>
      </c>
      <c r="AS18" s="98">
        <v>0</v>
      </c>
      <c r="AT18" s="97" t="s">
        <v>499</v>
      </c>
      <c r="AU18" s="197" t="s">
        <v>654</v>
      </c>
      <c r="AV18" s="196" t="s">
        <v>654</v>
      </c>
      <c r="AW18" s="196" t="s">
        <v>654</v>
      </c>
      <c r="AX18" s="196" t="s">
        <v>654</v>
      </c>
      <c r="AY18" s="190" t="s">
        <v>540</v>
      </c>
      <c r="AZ18" s="137" t="s">
        <v>815</v>
      </c>
      <c r="BA18" s="193" t="s">
        <v>738</v>
      </c>
      <c r="BB18" s="193" t="s">
        <v>738</v>
      </c>
      <c r="BC18" s="190" t="s">
        <v>540</v>
      </c>
      <c r="BD18" s="137" t="s">
        <v>815</v>
      </c>
      <c r="BE18" s="193" t="s">
        <v>878</v>
      </c>
      <c r="BF18" s="193" t="s">
        <v>738</v>
      </c>
      <c r="BG18" s="480"/>
    </row>
    <row r="19" spans="1:60" s="23" customFormat="1" ht="171.75" customHeight="1" x14ac:dyDescent="0.25">
      <c r="A19" s="106"/>
      <c r="B19" s="105"/>
      <c r="C19" s="787"/>
      <c r="D19" s="787"/>
      <c r="E19" s="837"/>
      <c r="F19" s="809"/>
      <c r="G19" s="920"/>
      <c r="H19" s="867"/>
      <c r="I19" s="809"/>
      <c r="J19" s="921"/>
      <c r="K19" s="212">
        <v>1</v>
      </c>
      <c r="L19" s="668" t="s">
        <v>398</v>
      </c>
      <c r="M19" s="668" t="s">
        <v>397</v>
      </c>
      <c r="N19" s="809"/>
      <c r="O19" s="809"/>
      <c r="P19" s="809"/>
      <c r="Q19" s="959"/>
      <c r="R19" s="657" t="s">
        <v>23</v>
      </c>
      <c r="S19" s="657" t="s">
        <v>23</v>
      </c>
      <c r="T19" s="657" t="s">
        <v>23</v>
      </c>
      <c r="U19" s="657" t="str">
        <f>M19</f>
        <v xml:space="preserve">1 active partnership to support livestock production in the district </v>
      </c>
      <c r="V19" s="855"/>
      <c r="W19" s="973"/>
      <c r="X19" s="966"/>
      <c r="Y19" s="794"/>
      <c r="Z19" s="928" t="str">
        <f>Z18</f>
        <v xml:space="preserve">n/a - no movement due for the quarter </v>
      </c>
      <c r="AA19" s="929"/>
      <c r="AB19" s="930"/>
      <c r="AC19" s="928" t="str">
        <f>AC18</f>
        <v xml:space="preserve">n/a - no movement due for the quarter </v>
      </c>
      <c r="AD19" s="929"/>
      <c r="AE19" s="930"/>
      <c r="AF19" s="928" t="str">
        <f>AF18</f>
        <v xml:space="preserve">n/a - no movement due for the quarter </v>
      </c>
      <c r="AG19" s="929"/>
      <c r="AH19" s="929"/>
      <c r="AI19" s="168" t="s">
        <v>457</v>
      </c>
      <c r="AJ19" s="137" t="s">
        <v>542</v>
      </c>
      <c r="AK19" s="167">
        <v>1</v>
      </c>
      <c r="AL19" s="139" t="s">
        <v>1015</v>
      </c>
      <c r="AM19" s="98">
        <v>1</v>
      </c>
      <c r="AN19" s="101" t="s">
        <v>23</v>
      </c>
      <c r="AO19" s="101" t="s">
        <v>23</v>
      </c>
      <c r="AP19" s="101" t="s">
        <v>23</v>
      </c>
      <c r="AQ19" s="100" t="s">
        <v>23</v>
      </c>
      <c r="AR19" s="99">
        <v>0</v>
      </c>
      <c r="AS19" s="98">
        <v>0</v>
      </c>
      <c r="AT19" s="97" t="s">
        <v>543</v>
      </c>
      <c r="AU19" s="197" t="s">
        <v>654</v>
      </c>
      <c r="AV19" s="196" t="s">
        <v>654</v>
      </c>
      <c r="AW19" s="434" t="s">
        <v>656</v>
      </c>
      <c r="AX19" s="196" t="s">
        <v>654</v>
      </c>
      <c r="AY19" s="169" t="s">
        <v>457</v>
      </c>
      <c r="AZ19" s="194" t="s">
        <v>816</v>
      </c>
      <c r="BA19" s="193" t="s">
        <v>817</v>
      </c>
      <c r="BB19" s="454" t="s">
        <v>818</v>
      </c>
      <c r="BC19" s="169" t="s">
        <v>457</v>
      </c>
      <c r="BD19" s="194" t="s">
        <v>816</v>
      </c>
      <c r="BE19" s="193" t="s">
        <v>883</v>
      </c>
      <c r="BF19" s="454" t="s">
        <v>818</v>
      </c>
      <c r="BG19" s="480"/>
      <c r="BH19" s="692" t="s">
        <v>1018</v>
      </c>
    </row>
    <row r="20" spans="1:60" s="23" customFormat="1" ht="176.25" customHeight="1" x14ac:dyDescent="0.25">
      <c r="A20" s="106"/>
      <c r="B20" s="105"/>
      <c r="C20" s="788"/>
      <c r="D20" s="788"/>
      <c r="E20" s="213" t="s">
        <v>396</v>
      </c>
      <c r="F20" s="206" t="s">
        <v>395</v>
      </c>
      <c r="G20" s="220" t="s">
        <v>16</v>
      </c>
      <c r="H20" s="211" t="s">
        <v>67</v>
      </c>
      <c r="I20" s="206"/>
      <c r="J20" s="212" t="s">
        <v>394</v>
      </c>
      <c r="K20" s="212">
        <v>0</v>
      </c>
      <c r="L20" s="668" t="s">
        <v>393</v>
      </c>
      <c r="M20" s="668" t="s">
        <v>392</v>
      </c>
      <c r="N20" s="206" t="str">
        <f>F20</f>
        <v>No of stakeholder engagement events held to support LED initiatives for cirridor development</v>
      </c>
      <c r="O20" s="206" t="s">
        <v>20</v>
      </c>
      <c r="P20" s="206" t="s">
        <v>19</v>
      </c>
      <c r="Q20" s="225">
        <v>44742</v>
      </c>
      <c r="R20" s="657" t="s">
        <v>391</v>
      </c>
      <c r="S20" s="657" t="str">
        <f>R20</f>
        <v>1 social facilitation and community engagement event held in irrigation schemes</v>
      </c>
      <c r="T20" s="657" t="str">
        <f>S20</f>
        <v>1 social facilitation and community engagement event held in irrigation schemes</v>
      </c>
      <c r="U20" s="657" t="s">
        <v>390</v>
      </c>
      <c r="V20" s="203">
        <v>0</v>
      </c>
      <c r="W20" s="228">
        <v>150000</v>
      </c>
      <c r="X20" s="205" t="s">
        <v>352</v>
      </c>
      <c r="Y20" s="210" t="s">
        <v>389</v>
      </c>
      <c r="Z20" s="88" t="s">
        <v>457</v>
      </c>
      <c r="AA20" s="74" t="s">
        <v>546</v>
      </c>
      <c r="AB20" s="103">
        <v>1</v>
      </c>
      <c r="AC20" s="88" t="s">
        <v>457</v>
      </c>
      <c r="AD20" s="74" t="s">
        <v>544</v>
      </c>
      <c r="AE20" s="103">
        <v>1</v>
      </c>
      <c r="AF20" s="141" t="s">
        <v>511</v>
      </c>
      <c r="AG20" s="74" t="s">
        <v>545</v>
      </c>
      <c r="AH20" s="102">
        <v>2</v>
      </c>
      <c r="AI20" s="169" t="s">
        <v>457</v>
      </c>
      <c r="AJ20" s="74" t="s">
        <v>547</v>
      </c>
      <c r="AK20" s="102">
        <v>1</v>
      </c>
      <c r="AL20" s="70" t="s">
        <v>1002</v>
      </c>
      <c r="AM20" s="98">
        <f>6/5</f>
        <v>1.2</v>
      </c>
      <c r="AN20" s="101" t="s">
        <v>23</v>
      </c>
      <c r="AO20" s="101" t="s">
        <v>23</v>
      </c>
      <c r="AP20" s="101" t="s">
        <v>23</v>
      </c>
      <c r="AQ20" s="100" t="s">
        <v>23</v>
      </c>
      <c r="AR20" s="99">
        <v>75982.05</v>
      </c>
      <c r="AS20" s="98">
        <f>AR20/W20</f>
        <v>0.50654699999999997</v>
      </c>
      <c r="AT20" s="97" t="s">
        <v>548</v>
      </c>
      <c r="AU20" s="197" t="s">
        <v>654</v>
      </c>
      <c r="AV20" s="196" t="s">
        <v>654</v>
      </c>
      <c r="AW20" s="434" t="s">
        <v>656</v>
      </c>
      <c r="AX20" s="196" t="s">
        <v>654</v>
      </c>
      <c r="AY20" s="169" t="s">
        <v>457</v>
      </c>
      <c r="AZ20" s="194" t="s">
        <v>819</v>
      </c>
      <c r="BA20" s="193" t="s">
        <v>820</v>
      </c>
      <c r="BB20" s="193" t="s">
        <v>821</v>
      </c>
      <c r="BC20" s="456" t="s">
        <v>511</v>
      </c>
      <c r="BD20" s="194" t="s">
        <v>822</v>
      </c>
      <c r="BE20" s="193" t="s">
        <v>884</v>
      </c>
      <c r="BF20" s="458" t="s">
        <v>823</v>
      </c>
      <c r="BG20" s="481" t="s">
        <v>869</v>
      </c>
    </row>
    <row r="21" spans="1:60" s="23" customFormat="1" ht="160.15" customHeight="1" x14ac:dyDescent="0.25">
      <c r="A21" s="106"/>
      <c r="B21" s="105"/>
      <c r="C21" s="202">
        <v>10</v>
      </c>
      <c r="D21" s="786" t="s">
        <v>388</v>
      </c>
      <c r="E21" s="837" t="s">
        <v>387</v>
      </c>
      <c r="F21" s="809" t="s">
        <v>384</v>
      </c>
      <c r="G21" s="920" t="s">
        <v>67</v>
      </c>
      <c r="H21" s="810" t="s">
        <v>364</v>
      </c>
      <c r="I21" s="809" t="s">
        <v>386</v>
      </c>
      <c r="J21" s="962" t="s">
        <v>281</v>
      </c>
      <c r="K21" s="221">
        <v>4</v>
      </c>
      <c r="L21" s="669" t="s">
        <v>229</v>
      </c>
      <c r="M21" s="669" t="s">
        <v>385</v>
      </c>
      <c r="N21" s="809" t="s">
        <v>384</v>
      </c>
      <c r="O21" s="206" t="s">
        <v>20</v>
      </c>
      <c r="P21" s="206" t="s">
        <v>19</v>
      </c>
      <c r="Q21" s="865">
        <v>44742</v>
      </c>
      <c r="R21" s="179" t="s">
        <v>23</v>
      </c>
      <c r="S21" s="179" t="s">
        <v>23</v>
      </c>
      <c r="T21" s="179" t="str">
        <f>M21</f>
        <v xml:space="preserve">6 shearing sheds operational </v>
      </c>
      <c r="U21" s="179" t="s">
        <v>383</v>
      </c>
      <c r="V21" s="203">
        <v>0</v>
      </c>
      <c r="W21" s="20">
        <v>0</v>
      </c>
      <c r="X21" s="206" t="s">
        <v>382</v>
      </c>
      <c r="Y21" s="27" t="s">
        <v>381</v>
      </c>
      <c r="Z21" s="928" t="str">
        <f>Z19</f>
        <v xml:space="preserve">n/a - no movement due for the quarter </v>
      </c>
      <c r="AA21" s="929"/>
      <c r="AB21" s="930"/>
      <c r="AC21" s="928" t="str">
        <f>AC19</f>
        <v xml:space="preserve">n/a - no movement due for the quarter </v>
      </c>
      <c r="AD21" s="929"/>
      <c r="AE21" s="930"/>
      <c r="AF21" s="116" t="s">
        <v>457</v>
      </c>
      <c r="AG21" s="74" t="s">
        <v>549</v>
      </c>
      <c r="AH21" s="102">
        <v>1</v>
      </c>
      <c r="AI21" s="170" t="s">
        <v>330</v>
      </c>
      <c r="AJ21" s="74" t="s">
        <v>550</v>
      </c>
      <c r="AK21" s="102">
        <f>21/100</f>
        <v>0.21</v>
      </c>
      <c r="AL21" s="115" t="s">
        <v>551</v>
      </c>
      <c r="AM21" s="98">
        <v>1</v>
      </c>
      <c r="AN21" s="101" t="s">
        <v>23</v>
      </c>
      <c r="AO21" s="101" t="s">
        <v>23</v>
      </c>
      <c r="AP21" s="101" t="s">
        <v>23</v>
      </c>
      <c r="AQ21" s="100" t="s">
        <v>23</v>
      </c>
      <c r="AR21" s="99" t="s">
        <v>23</v>
      </c>
      <c r="AS21" s="98" t="s">
        <v>23</v>
      </c>
      <c r="AT21" s="97" t="s">
        <v>552</v>
      </c>
      <c r="AU21" s="197" t="s">
        <v>654</v>
      </c>
      <c r="AV21" s="196" t="s">
        <v>654</v>
      </c>
      <c r="AW21" s="196" t="s">
        <v>654</v>
      </c>
      <c r="AX21" s="196" t="s">
        <v>654</v>
      </c>
      <c r="AY21" s="190" t="s">
        <v>540</v>
      </c>
      <c r="AZ21" s="470" t="s">
        <v>824</v>
      </c>
      <c r="BA21" s="193" t="s">
        <v>738</v>
      </c>
      <c r="BB21" s="193" t="s">
        <v>738</v>
      </c>
      <c r="BC21" s="169" t="s">
        <v>457</v>
      </c>
      <c r="BD21" s="194" t="s">
        <v>825</v>
      </c>
      <c r="BE21" s="193" t="s">
        <v>886</v>
      </c>
      <c r="BF21" s="193" t="s">
        <v>738</v>
      </c>
      <c r="BG21" s="480"/>
    </row>
    <row r="22" spans="1:60" s="23" customFormat="1" ht="171" customHeight="1" x14ac:dyDescent="0.25">
      <c r="A22" s="106"/>
      <c r="B22" s="105"/>
      <c r="C22" s="960"/>
      <c r="D22" s="787"/>
      <c r="E22" s="837"/>
      <c r="F22" s="809"/>
      <c r="G22" s="920"/>
      <c r="H22" s="812"/>
      <c r="I22" s="809"/>
      <c r="J22" s="962"/>
      <c r="K22" s="221">
        <v>2</v>
      </c>
      <c r="L22" s="669" t="s">
        <v>230</v>
      </c>
      <c r="M22" s="669" t="s">
        <v>380</v>
      </c>
      <c r="N22" s="809"/>
      <c r="O22" s="206" t="s">
        <v>29</v>
      </c>
      <c r="P22" s="206" t="s">
        <v>30</v>
      </c>
      <c r="Q22" s="867"/>
      <c r="R22" s="179" t="s">
        <v>379</v>
      </c>
      <c r="S22" s="179" t="str">
        <f>R22</f>
        <v>50000 vaccines administered to support breeding / livestock programmes</v>
      </c>
      <c r="T22" s="179" t="str">
        <f>S22</f>
        <v>50000 vaccines administered to support breeding / livestock programmes</v>
      </c>
      <c r="U22" s="179" t="str">
        <f>T22</f>
        <v>50000 vaccines administered to support breeding / livestock programmes</v>
      </c>
      <c r="V22" s="203">
        <v>0</v>
      </c>
      <c r="W22" s="20">
        <v>500000</v>
      </c>
      <c r="X22" s="206" t="s">
        <v>378</v>
      </c>
      <c r="Y22" s="27" t="s">
        <v>377</v>
      </c>
      <c r="Z22" s="88" t="s">
        <v>457</v>
      </c>
      <c r="AA22" s="74" t="s">
        <v>510</v>
      </c>
      <c r="AB22" s="103">
        <v>1</v>
      </c>
      <c r="AC22" s="88" t="s">
        <v>457</v>
      </c>
      <c r="AD22" s="74" t="s">
        <v>500</v>
      </c>
      <c r="AE22" s="103">
        <v>1</v>
      </c>
      <c r="AF22" s="116" t="s">
        <v>501</v>
      </c>
      <c r="AG22" s="74" t="s">
        <v>500</v>
      </c>
      <c r="AH22" s="102">
        <v>1</v>
      </c>
      <c r="AI22" s="116" t="s">
        <v>457</v>
      </c>
      <c r="AJ22" s="74" t="s">
        <v>500</v>
      </c>
      <c r="AK22" s="102">
        <v>1</v>
      </c>
      <c r="AL22" s="115" t="s">
        <v>502</v>
      </c>
      <c r="AM22" s="98">
        <v>1</v>
      </c>
      <c r="AN22" s="101" t="s">
        <v>870</v>
      </c>
      <c r="AO22" s="101" t="s">
        <v>871</v>
      </c>
      <c r="AP22" s="101" t="s">
        <v>872</v>
      </c>
      <c r="AQ22" s="100" t="s">
        <v>485</v>
      </c>
      <c r="AR22" s="99">
        <v>2086374.56</v>
      </c>
      <c r="AS22" s="98">
        <f>AR22/W22</f>
        <v>4.1727491199999998</v>
      </c>
      <c r="AT22" s="97" t="s">
        <v>873</v>
      </c>
      <c r="AU22" s="197" t="s">
        <v>654</v>
      </c>
      <c r="AV22" s="196" t="s">
        <v>654</v>
      </c>
      <c r="AW22" s="196" t="s">
        <v>654</v>
      </c>
      <c r="AX22" s="196" t="s">
        <v>654</v>
      </c>
      <c r="AY22" s="116" t="s">
        <v>457</v>
      </c>
      <c r="AZ22" s="61" t="s">
        <v>826</v>
      </c>
      <c r="BA22" s="193" t="s">
        <v>738</v>
      </c>
      <c r="BB22" s="193" t="s">
        <v>738</v>
      </c>
      <c r="BC22" s="116" t="s">
        <v>457</v>
      </c>
      <c r="BD22" s="61" t="s">
        <v>827</v>
      </c>
      <c r="BE22" s="193" t="s">
        <v>886</v>
      </c>
      <c r="BF22" s="193" t="s">
        <v>738</v>
      </c>
      <c r="BG22" s="480"/>
    </row>
    <row r="23" spans="1:60" s="23" customFormat="1" ht="204" x14ac:dyDescent="0.25">
      <c r="A23" s="106"/>
      <c r="B23" s="105"/>
      <c r="C23" s="960"/>
      <c r="D23" s="787"/>
      <c r="E23" s="837"/>
      <c r="F23" s="809" t="s">
        <v>376</v>
      </c>
      <c r="G23" s="920" t="s">
        <v>67</v>
      </c>
      <c r="H23" s="25" t="s">
        <v>375</v>
      </c>
      <c r="I23" s="809" t="s">
        <v>374</v>
      </c>
      <c r="J23" s="962" t="s">
        <v>281</v>
      </c>
      <c r="K23" s="957">
        <v>2</v>
      </c>
      <c r="L23" s="667" t="s">
        <v>373</v>
      </c>
      <c r="M23" s="667" t="s">
        <v>372</v>
      </c>
      <c r="N23" s="809" t="s">
        <v>371</v>
      </c>
      <c r="O23" s="25" t="s">
        <v>29</v>
      </c>
      <c r="P23" s="25" t="s">
        <v>30</v>
      </c>
      <c r="Q23" s="865">
        <v>44742</v>
      </c>
      <c r="R23" s="656" t="s">
        <v>370</v>
      </c>
      <c r="S23" s="656" t="s">
        <v>369</v>
      </c>
      <c r="T23" s="656" t="s">
        <v>368</v>
      </c>
      <c r="U23" s="656" t="s">
        <v>367</v>
      </c>
      <c r="V23" s="32">
        <v>0</v>
      </c>
      <c r="W23" s="109">
        <v>1794701.2</v>
      </c>
      <c r="X23" s="25" t="s">
        <v>366</v>
      </c>
      <c r="Y23" s="28" t="s">
        <v>365</v>
      </c>
      <c r="Z23" s="75" t="s">
        <v>511</v>
      </c>
      <c r="AA23" s="74" t="s">
        <v>512</v>
      </c>
      <c r="AB23" s="103">
        <f>500376.4/500000</f>
        <v>1.0007528000000001</v>
      </c>
      <c r="AC23" s="75" t="s">
        <v>511</v>
      </c>
      <c r="AD23" s="74" t="s">
        <v>553</v>
      </c>
      <c r="AE23" s="103">
        <f>1007619.82/1000000</f>
        <v>1.0076198199999999</v>
      </c>
      <c r="AF23" s="127" t="s">
        <v>471</v>
      </c>
      <c r="AG23" s="74" t="s">
        <v>513</v>
      </c>
      <c r="AH23" s="102">
        <f>1244992.31/1500000</f>
        <v>0.82999487333333333</v>
      </c>
      <c r="AI23" s="127" t="s">
        <v>471</v>
      </c>
      <c r="AJ23" s="74" t="s">
        <v>554</v>
      </c>
      <c r="AK23" s="102">
        <f>1794701.2/2000000</f>
        <v>0.8973506</v>
      </c>
      <c r="AL23" s="486" t="s">
        <v>898</v>
      </c>
      <c r="AM23" s="98">
        <v>1</v>
      </c>
      <c r="AN23" s="101" t="s">
        <v>555</v>
      </c>
      <c r="AO23" s="101" t="s">
        <v>556</v>
      </c>
      <c r="AP23" s="101" t="s">
        <v>557</v>
      </c>
      <c r="AQ23" s="100" t="s">
        <v>495</v>
      </c>
      <c r="AR23" s="99">
        <v>1541484.16</v>
      </c>
      <c r="AS23" s="98">
        <f>1541484.16/W23</f>
        <v>0.85890852471709489</v>
      </c>
      <c r="AT23" s="97" t="s">
        <v>558</v>
      </c>
      <c r="AU23" s="197" t="s">
        <v>654</v>
      </c>
      <c r="AV23" s="196" t="s">
        <v>654</v>
      </c>
      <c r="AW23" s="196" t="s">
        <v>654</v>
      </c>
      <c r="AX23" s="430" t="s">
        <v>654</v>
      </c>
      <c r="AY23" s="190" t="s">
        <v>540</v>
      </c>
      <c r="AZ23" s="194" t="s">
        <v>828</v>
      </c>
      <c r="BA23" s="193" t="s">
        <v>738</v>
      </c>
      <c r="BB23" s="193" t="s">
        <v>738</v>
      </c>
      <c r="BC23" s="169" t="s">
        <v>457</v>
      </c>
      <c r="BD23" s="137" t="s">
        <v>829</v>
      </c>
      <c r="BE23" s="193" t="s">
        <v>887</v>
      </c>
      <c r="BF23" s="193" t="s">
        <v>738</v>
      </c>
      <c r="BG23" s="480" t="s">
        <v>899</v>
      </c>
    </row>
    <row r="24" spans="1:60" s="23" customFormat="1" ht="123.75" customHeight="1" x14ac:dyDescent="0.25">
      <c r="A24" s="106"/>
      <c r="B24" s="105"/>
      <c r="C24" s="960"/>
      <c r="D24" s="787"/>
      <c r="E24" s="837"/>
      <c r="F24" s="809"/>
      <c r="G24" s="920"/>
      <c r="H24" s="205" t="s">
        <v>364</v>
      </c>
      <c r="I24" s="809"/>
      <c r="J24" s="962"/>
      <c r="K24" s="957"/>
      <c r="L24" s="668" t="s">
        <v>363</v>
      </c>
      <c r="M24" s="668" t="s">
        <v>362</v>
      </c>
      <c r="N24" s="809"/>
      <c r="O24" s="205" t="s">
        <v>29</v>
      </c>
      <c r="P24" s="205" t="s">
        <v>30</v>
      </c>
      <c r="Q24" s="959"/>
      <c r="R24" s="657" t="s">
        <v>23</v>
      </c>
      <c r="S24" s="657" t="s">
        <v>23</v>
      </c>
      <c r="T24" s="657" t="s">
        <v>23</v>
      </c>
      <c r="U24" s="657" t="s">
        <v>361</v>
      </c>
      <c r="V24" s="228">
        <v>0</v>
      </c>
      <c r="W24" s="218">
        <v>0</v>
      </c>
      <c r="X24" s="205" t="s">
        <v>352</v>
      </c>
      <c r="Y24" s="210" t="s">
        <v>360</v>
      </c>
      <c r="Z24" s="928" t="str">
        <f>Z25</f>
        <v xml:space="preserve">n/a - no movement due for the quarter </v>
      </c>
      <c r="AA24" s="929"/>
      <c r="AB24" s="930"/>
      <c r="AC24" s="928" t="str">
        <f>AC25</f>
        <v xml:space="preserve">n/a - no movement due for the quarter </v>
      </c>
      <c r="AD24" s="929"/>
      <c r="AE24" s="930"/>
      <c r="AF24" s="928" t="str">
        <f>AC24</f>
        <v xml:space="preserve">n/a - no movement due for the quarter </v>
      </c>
      <c r="AG24" s="929"/>
      <c r="AH24" s="929"/>
      <c r="AI24" s="171" t="s">
        <v>330</v>
      </c>
      <c r="AJ24" s="137" t="s">
        <v>559</v>
      </c>
      <c r="AK24" s="167">
        <v>0</v>
      </c>
      <c r="AL24" s="140" t="s">
        <v>504</v>
      </c>
      <c r="AM24" s="98">
        <v>0</v>
      </c>
      <c r="AN24" s="101" t="s">
        <v>505</v>
      </c>
      <c r="AO24" s="101" t="s">
        <v>888</v>
      </c>
      <c r="AP24" s="101" t="s">
        <v>67</v>
      </c>
      <c r="AQ24" s="484" t="s">
        <v>889</v>
      </c>
      <c r="AR24" s="99">
        <v>0</v>
      </c>
      <c r="AS24" s="98">
        <v>0</v>
      </c>
      <c r="AT24" s="97" t="s">
        <v>506</v>
      </c>
      <c r="AU24" s="197" t="s">
        <v>654</v>
      </c>
      <c r="AV24" s="196" t="s">
        <v>654</v>
      </c>
      <c r="AW24" s="196" t="s">
        <v>654</v>
      </c>
      <c r="AX24" s="196" t="s">
        <v>654</v>
      </c>
      <c r="AY24" s="190" t="s">
        <v>540</v>
      </c>
      <c r="AZ24" s="194" t="s">
        <v>830</v>
      </c>
      <c r="BA24" s="193" t="s">
        <v>738</v>
      </c>
      <c r="BB24" s="193" t="s">
        <v>738</v>
      </c>
      <c r="BC24" s="190" t="s">
        <v>540</v>
      </c>
      <c r="BD24" s="194" t="s">
        <v>830</v>
      </c>
      <c r="BE24" s="193" t="s">
        <v>890</v>
      </c>
      <c r="BF24" s="193" t="s">
        <v>738</v>
      </c>
      <c r="BG24" s="480"/>
    </row>
    <row r="25" spans="1:60" s="23" customFormat="1" ht="186" customHeight="1" x14ac:dyDescent="0.25">
      <c r="A25" s="106"/>
      <c r="B25" s="105"/>
      <c r="C25" s="960"/>
      <c r="D25" s="787"/>
      <c r="E25" s="837"/>
      <c r="F25" s="810" t="s">
        <v>359</v>
      </c>
      <c r="G25" s="900" t="s">
        <v>67</v>
      </c>
      <c r="H25" s="943" t="s">
        <v>358</v>
      </c>
      <c r="I25" s="809" t="s">
        <v>357</v>
      </c>
      <c r="J25" s="962" t="s">
        <v>281</v>
      </c>
      <c r="K25" s="108">
        <v>2</v>
      </c>
      <c r="L25" s="667" t="s">
        <v>356</v>
      </c>
      <c r="M25" s="667" t="s">
        <v>355</v>
      </c>
      <c r="N25" s="810" t="s">
        <v>354</v>
      </c>
      <c r="O25" s="943" t="s">
        <v>29</v>
      </c>
      <c r="P25" s="943" t="s">
        <v>30</v>
      </c>
      <c r="Q25" s="865">
        <v>44742</v>
      </c>
      <c r="R25" s="656" t="s">
        <v>23</v>
      </c>
      <c r="S25" s="656" t="s">
        <v>23</v>
      </c>
      <c r="T25" s="656" t="s">
        <v>353</v>
      </c>
      <c r="U25" s="656" t="s">
        <v>23</v>
      </c>
      <c r="V25" s="972">
        <v>0</v>
      </c>
      <c r="W25" s="982">
        <v>200000</v>
      </c>
      <c r="X25" s="810" t="s">
        <v>352</v>
      </c>
      <c r="Y25" s="107" t="s">
        <v>351</v>
      </c>
      <c r="Z25" s="928" t="str">
        <f>Z27</f>
        <v xml:space="preserve">n/a - no movement due for the quarter </v>
      </c>
      <c r="AA25" s="929"/>
      <c r="AB25" s="930"/>
      <c r="AC25" s="928" t="str">
        <f>AC27</f>
        <v xml:space="preserve">n/a - no movement due for the quarter </v>
      </c>
      <c r="AD25" s="929"/>
      <c r="AE25" s="930"/>
      <c r="AF25" s="118" t="s">
        <v>330</v>
      </c>
      <c r="AG25" s="74" t="s">
        <v>560</v>
      </c>
      <c r="AH25" s="102">
        <v>0</v>
      </c>
      <c r="AI25" s="974" t="s">
        <v>320</v>
      </c>
      <c r="AJ25" s="929"/>
      <c r="AK25" s="930"/>
      <c r="AL25" s="115" t="s">
        <v>895</v>
      </c>
      <c r="AM25" s="98">
        <v>1</v>
      </c>
      <c r="AN25" s="101" t="s">
        <v>894</v>
      </c>
      <c r="AO25" s="101" t="s">
        <v>831</v>
      </c>
      <c r="AP25" s="101" t="s">
        <v>67</v>
      </c>
      <c r="AQ25" s="100" t="s">
        <v>488</v>
      </c>
      <c r="AR25" s="99">
        <v>200000</v>
      </c>
      <c r="AS25" s="98">
        <f>AR25/W25</f>
        <v>1</v>
      </c>
      <c r="AT25" s="97" t="s">
        <v>832</v>
      </c>
      <c r="AU25" s="197" t="s">
        <v>654</v>
      </c>
      <c r="AV25" s="196" t="s">
        <v>654</v>
      </c>
      <c r="AW25" s="196" t="s">
        <v>654</v>
      </c>
      <c r="AX25" s="196" t="s">
        <v>654</v>
      </c>
      <c r="AY25" s="61" t="s">
        <v>833</v>
      </c>
      <c r="AZ25" s="61" t="s">
        <v>834</v>
      </c>
      <c r="BA25" s="193" t="s">
        <v>738</v>
      </c>
      <c r="BB25" s="193" t="s">
        <v>738</v>
      </c>
      <c r="BC25" s="125" t="s">
        <v>891</v>
      </c>
      <c r="BD25" s="471" t="s">
        <v>835</v>
      </c>
      <c r="BE25" s="485" t="s">
        <v>892</v>
      </c>
      <c r="BF25" s="193" t="s">
        <v>806</v>
      </c>
      <c r="BG25" s="481" t="s">
        <v>893</v>
      </c>
      <c r="BH25" s="471"/>
    </row>
    <row r="26" spans="1:60" s="23" customFormat="1" ht="93.75" customHeight="1" x14ac:dyDescent="0.25">
      <c r="A26" s="106"/>
      <c r="B26" s="105"/>
      <c r="C26" s="960"/>
      <c r="D26" s="787"/>
      <c r="E26" s="837"/>
      <c r="F26" s="954"/>
      <c r="G26" s="967"/>
      <c r="H26" s="968"/>
      <c r="I26" s="809"/>
      <c r="J26" s="962"/>
      <c r="K26" s="211"/>
      <c r="L26" s="674" t="s">
        <v>344</v>
      </c>
      <c r="M26" s="674" t="s">
        <v>350</v>
      </c>
      <c r="N26" s="954"/>
      <c r="O26" s="866"/>
      <c r="P26" s="866"/>
      <c r="Q26" s="958"/>
      <c r="R26" s="660" t="s">
        <v>349</v>
      </c>
      <c r="S26" s="660" t="s">
        <v>349</v>
      </c>
      <c r="T26" s="660" t="s">
        <v>348</v>
      </c>
      <c r="U26" s="660" t="s">
        <v>347</v>
      </c>
      <c r="V26" s="951"/>
      <c r="W26" s="983"/>
      <c r="X26" s="954"/>
      <c r="Y26" s="104" t="s">
        <v>346</v>
      </c>
      <c r="Z26" s="88" t="s">
        <v>457</v>
      </c>
      <c r="AA26" s="74" t="s">
        <v>507</v>
      </c>
      <c r="AB26" s="103">
        <v>1</v>
      </c>
      <c r="AC26" s="88" t="s">
        <v>457</v>
      </c>
      <c r="AD26" s="74" t="str">
        <f>AA26</f>
        <v>1 pomegranate pilot provided with ongoing support</v>
      </c>
      <c r="AE26" s="103">
        <v>1</v>
      </c>
      <c r="AF26" s="116" t="s">
        <v>457</v>
      </c>
      <c r="AG26" s="74" t="str">
        <f>AD26</f>
        <v>1 pomegranate pilot provided with ongoing support</v>
      </c>
      <c r="AH26" s="102">
        <v>1</v>
      </c>
      <c r="AI26" s="116" t="s">
        <v>457</v>
      </c>
      <c r="AJ26" s="74" t="s">
        <v>561</v>
      </c>
      <c r="AK26" s="102">
        <v>1</v>
      </c>
      <c r="AL26" s="115" t="s">
        <v>508</v>
      </c>
      <c r="AM26" s="98">
        <v>1</v>
      </c>
      <c r="AN26" s="101" t="s">
        <v>23</v>
      </c>
      <c r="AO26" s="101" t="s">
        <v>23</v>
      </c>
      <c r="AP26" s="101" t="s">
        <v>23</v>
      </c>
      <c r="AQ26" s="100" t="s">
        <v>23</v>
      </c>
      <c r="AR26" s="99">
        <f>4800*12</f>
        <v>57600</v>
      </c>
      <c r="AS26" s="98">
        <f>AR26/W25</f>
        <v>0.28799999999999998</v>
      </c>
      <c r="AT26" s="97" t="s">
        <v>509</v>
      </c>
      <c r="AU26" s="197" t="s">
        <v>654</v>
      </c>
      <c r="AV26" s="196" t="s">
        <v>654</v>
      </c>
      <c r="AW26" s="434" t="s">
        <v>656</v>
      </c>
      <c r="AX26" s="196" t="s">
        <v>654</v>
      </c>
      <c r="AY26" s="116" t="s">
        <v>457</v>
      </c>
      <c r="AZ26" s="194" t="s">
        <v>836</v>
      </c>
      <c r="BA26" s="193" t="s">
        <v>837</v>
      </c>
      <c r="BB26" s="454" t="s">
        <v>838</v>
      </c>
      <c r="BC26" s="116" t="s">
        <v>457</v>
      </c>
      <c r="BD26" s="194" t="s">
        <v>839</v>
      </c>
      <c r="BE26" s="193" t="s">
        <v>878</v>
      </c>
      <c r="BF26" s="193" t="s">
        <v>738</v>
      </c>
      <c r="BG26" s="480"/>
    </row>
    <row r="27" spans="1:60" s="23" customFormat="1" ht="201" customHeight="1" thickBot="1" x14ac:dyDescent="0.3">
      <c r="A27" s="472"/>
      <c r="B27" s="473"/>
      <c r="C27" s="961"/>
      <c r="D27" s="963"/>
      <c r="E27" s="882"/>
      <c r="F27" s="474" t="s">
        <v>345</v>
      </c>
      <c r="G27" s="474" t="s">
        <v>16</v>
      </c>
      <c r="H27" s="474" t="s">
        <v>67</v>
      </c>
      <c r="I27" s="969"/>
      <c r="J27" s="970"/>
      <c r="K27" s="475">
        <v>1</v>
      </c>
      <c r="L27" s="675" t="s">
        <v>562</v>
      </c>
      <c r="M27" s="675" t="s">
        <v>343</v>
      </c>
      <c r="N27" s="474" t="str">
        <f>F27</f>
        <v xml:space="preserve">No of local agro-processing infrastructure development projects supported </v>
      </c>
      <c r="O27" s="971"/>
      <c r="P27" s="971"/>
      <c r="Q27" s="981"/>
      <c r="R27" s="661" t="s">
        <v>23</v>
      </c>
      <c r="S27" s="661" t="s">
        <v>23</v>
      </c>
      <c r="T27" s="661" t="s">
        <v>342</v>
      </c>
      <c r="U27" s="661" t="s">
        <v>341</v>
      </c>
      <c r="V27" s="476">
        <v>0</v>
      </c>
      <c r="W27" s="477">
        <v>5668768.2300000004</v>
      </c>
      <c r="X27" s="478" t="s">
        <v>340</v>
      </c>
      <c r="Y27" s="30" t="s">
        <v>339</v>
      </c>
      <c r="Z27" s="975" t="s">
        <v>320</v>
      </c>
      <c r="AA27" s="976"/>
      <c r="AB27" s="977"/>
      <c r="AC27" s="975" t="s">
        <v>320</v>
      </c>
      <c r="AD27" s="976"/>
      <c r="AE27" s="977"/>
      <c r="AF27" s="466" t="s">
        <v>330</v>
      </c>
      <c r="AG27" s="464" t="s">
        <v>652</v>
      </c>
      <c r="AH27" s="465">
        <v>0.5</v>
      </c>
      <c r="AI27" s="487" t="s">
        <v>330</v>
      </c>
      <c r="AJ27" s="464" t="s">
        <v>1023</v>
      </c>
      <c r="AK27" s="465">
        <v>0.5</v>
      </c>
      <c r="AL27" s="487" t="s">
        <v>1024</v>
      </c>
      <c r="AM27" s="147">
        <v>0.5</v>
      </c>
      <c r="AN27" s="148" t="s">
        <v>1022</v>
      </c>
      <c r="AO27" s="148" t="s">
        <v>1011</v>
      </c>
      <c r="AP27" s="148" t="s">
        <v>16</v>
      </c>
      <c r="AQ27" s="149">
        <v>44864</v>
      </c>
      <c r="AR27" s="605">
        <v>5668768.2300000004</v>
      </c>
      <c r="AS27" s="147">
        <v>1</v>
      </c>
      <c r="AT27" s="151" t="s">
        <v>563</v>
      </c>
      <c r="AU27" s="197" t="s">
        <v>654</v>
      </c>
      <c r="AV27" s="196" t="s">
        <v>654</v>
      </c>
      <c r="AW27" s="434" t="s">
        <v>656</v>
      </c>
      <c r="AX27" s="196" t="s">
        <v>654</v>
      </c>
      <c r="AY27" s="433" t="s">
        <v>471</v>
      </c>
      <c r="AZ27" s="194" t="s">
        <v>840</v>
      </c>
      <c r="BA27" s="193" t="s">
        <v>841</v>
      </c>
      <c r="BB27" s="193" t="s">
        <v>842</v>
      </c>
      <c r="BC27" s="118" t="s">
        <v>330</v>
      </c>
      <c r="BD27" s="194" t="s">
        <v>843</v>
      </c>
      <c r="BE27" s="193" t="s">
        <v>896</v>
      </c>
      <c r="BF27" s="458" t="s">
        <v>844</v>
      </c>
      <c r="BG27" s="481" t="s">
        <v>897</v>
      </c>
      <c r="BH27" s="692" t="s">
        <v>1013</v>
      </c>
    </row>
    <row r="28" spans="1:60" s="35" customFormat="1" x14ac:dyDescent="0.2">
      <c r="C28" s="36"/>
      <c r="F28" s="96">
        <f>COUNTA(F4:F27)</f>
        <v>11</v>
      </c>
      <c r="G28" s="96"/>
      <c r="H28" s="96"/>
      <c r="I28" s="96"/>
      <c r="J28" s="96"/>
      <c r="K28" s="96"/>
      <c r="L28" s="96">
        <f>COUNTA(L4:L27)</f>
        <v>22</v>
      </c>
      <c r="M28" s="37"/>
      <c r="R28" s="654"/>
      <c r="S28" s="654"/>
      <c r="T28" s="654"/>
      <c r="U28" s="654"/>
      <c r="V28" s="38">
        <f>SUM(V4:V27)</f>
        <v>3137256.2</v>
      </c>
      <c r="W28" s="38">
        <f>SUM(W4:W27)</f>
        <v>17699198.390000001</v>
      </c>
      <c r="BG28" s="482"/>
    </row>
  </sheetData>
  <mergeCells count="156">
    <mergeCell ref="AI25:AK25"/>
    <mergeCell ref="Z27:AB27"/>
    <mergeCell ref="AC27:AE27"/>
    <mergeCell ref="AI12:AI14"/>
    <mergeCell ref="P25:P27"/>
    <mergeCell ref="Q25:Q27"/>
    <mergeCell ref="V25:V26"/>
    <mergeCell ref="W25:W26"/>
    <mergeCell ref="X25:X26"/>
    <mergeCell ref="Z25:AB25"/>
    <mergeCell ref="Z24:AB24"/>
    <mergeCell ref="AC24:AE24"/>
    <mergeCell ref="AF24:AH24"/>
    <mergeCell ref="AF16:AH16"/>
    <mergeCell ref="Z17:AB17"/>
    <mergeCell ref="AC17:AE17"/>
    <mergeCell ref="AF17:AH17"/>
    <mergeCell ref="Z18:AB18"/>
    <mergeCell ref="AC18:AE18"/>
    <mergeCell ref="AF18:AH18"/>
    <mergeCell ref="Z19:AB19"/>
    <mergeCell ref="AC19:AE19"/>
    <mergeCell ref="F25:F26"/>
    <mergeCell ref="G25:G26"/>
    <mergeCell ref="H25:H26"/>
    <mergeCell ref="I25:I27"/>
    <mergeCell ref="J25:J27"/>
    <mergeCell ref="N25:N26"/>
    <mergeCell ref="O25:O27"/>
    <mergeCell ref="Z21:AB21"/>
    <mergeCell ref="AC21:AE21"/>
    <mergeCell ref="AC25:AE25"/>
    <mergeCell ref="V16:V19"/>
    <mergeCell ref="W16:W19"/>
    <mergeCell ref="P16:P19"/>
    <mergeCell ref="Q16:Q19"/>
    <mergeCell ref="C22:C27"/>
    <mergeCell ref="F23:F24"/>
    <mergeCell ref="G23:G24"/>
    <mergeCell ref="I23:I24"/>
    <mergeCell ref="J23:J24"/>
    <mergeCell ref="K23:K24"/>
    <mergeCell ref="N23:N24"/>
    <mergeCell ref="Q23:Q24"/>
    <mergeCell ref="AF19:AH19"/>
    <mergeCell ref="D21:D27"/>
    <mergeCell ref="E21:E27"/>
    <mergeCell ref="F21:F22"/>
    <mergeCell ref="G21:G22"/>
    <mergeCell ref="H21:H22"/>
    <mergeCell ref="I21:I22"/>
    <mergeCell ref="J21:J22"/>
    <mergeCell ref="N21:N22"/>
    <mergeCell ref="Q21:Q22"/>
    <mergeCell ref="C16:C20"/>
    <mergeCell ref="D16:D20"/>
    <mergeCell ref="X16:X19"/>
    <mergeCell ref="Y16:Y19"/>
    <mergeCell ref="Z16:AB16"/>
    <mergeCell ref="AC16:AE16"/>
    <mergeCell ref="E16:E19"/>
    <mergeCell ref="F16:F19"/>
    <mergeCell ref="G16:G19"/>
    <mergeCell ref="H16:H19"/>
    <mergeCell ref="AC12:AE12"/>
    <mergeCell ref="AF12:AH12"/>
    <mergeCell ref="AR12:AR14"/>
    <mergeCell ref="L12:L14"/>
    <mergeCell ref="M12:M14"/>
    <mergeCell ref="V12:V14"/>
    <mergeCell ref="W12:W14"/>
    <mergeCell ref="X12:X14"/>
    <mergeCell ref="Y12:Y14"/>
    <mergeCell ref="K10:K15"/>
    <mergeCell ref="N10:N15"/>
    <mergeCell ref="O10:O15"/>
    <mergeCell ref="P10:P15"/>
    <mergeCell ref="Q10:Q15"/>
    <mergeCell ref="I16:I19"/>
    <mergeCell ref="J16:J19"/>
    <mergeCell ref="N16:N19"/>
    <mergeCell ref="O16:O19"/>
    <mergeCell ref="AF14:AH14"/>
    <mergeCell ref="Z15:AB15"/>
    <mergeCell ref="AT12:AT14"/>
    <mergeCell ref="Z13:AB13"/>
    <mergeCell ref="AC13:AE13"/>
    <mergeCell ref="AF13:AH13"/>
    <mergeCell ref="Z14:AB14"/>
    <mergeCell ref="AC14:AE14"/>
    <mergeCell ref="AF10:AH10"/>
    <mergeCell ref="Z11:AB11"/>
    <mergeCell ref="AC11:AE11"/>
    <mergeCell ref="Z12:AB12"/>
    <mergeCell ref="Z10:AB10"/>
    <mergeCell ref="C10:C15"/>
    <mergeCell ref="D10:D15"/>
    <mergeCell ref="E10:E15"/>
    <mergeCell ref="F10:F15"/>
    <mergeCell ref="G10:G15"/>
    <mergeCell ref="H10:H15"/>
    <mergeCell ref="I10:I15"/>
    <mergeCell ref="J10:J15"/>
    <mergeCell ref="AS12:AS14"/>
    <mergeCell ref="AL12:AL14"/>
    <mergeCell ref="AC15:AE15"/>
    <mergeCell ref="AF15:AH15"/>
    <mergeCell ref="Z7:AB7"/>
    <mergeCell ref="AC2:AE2"/>
    <mergeCell ref="AF2:AH2"/>
    <mergeCell ref="AI2:AK2"/>
    <mergeCell ref="AC7:AE7"/>
    <mergeCell ref="AF7:AH7"/>
    <mergeCell ref="C8:C9"/>
    <mergeCell ref="D8:D9"/>
    <mergeCell ref="E8:E9"/>
    <mergeCell ref="F8:F9"/>
    <mergeCell ref="J8:J9"/>
    <mergeCell ref="K8:K9"/>
    <mergeCell ref="N8:N9"/>
    <mergeCell ref="O8:O9"/>
    <mergeCell ref="P8:P9"/>
    <mergeCell ref="Q8:Q9"/>
    <mergeCell ref="AL2:AT2"/>
    <mergeCell ref="AU2:BF2"/>
    <mergeCell ref="C4:C7"/>
    <mergeCell ref="D4:D7"/>
    <mergeCell ref="E4:E6"/>
    <mergeCell ref="F4:F5"/>
    <mergeCell ref="G4:G6"/>
    <mergeCell ref="S2:S3"/>
    <mergeCell ref="T2:T3"/>
    <mergeCell ref="U2:U3"/>
    <mergeCell ref="V2:X2"/>
    <mergeCell ref="Y2:Y3"/>
    <mergeCell ref="Z2:AB2"/>
    <mergeCell ref="L2:M3"/>
    <mergeCell ref="N2:N3"/>
    <mergeCell ref="O2:O3"/>
    <mergeCell ref="P2:P3"/>
    <mergeCell ref="Q2:Q3"/>
    <mergeCell ref="R2:R3"/>
    <mergeCell ref="H4:H6"/>
    <mergeCell ref="N4:N5"/>
    <mergeCell ref="O4:O6"/>
    <mergeCell ref="P4:P6"/>
    <mergeCell ref="Q4:Q6"/>
    <mergeCell ref="A1:K1"/>
    <mergeCell ref="A2:A3"/>
    <mergeCell ref="B2:B3"/>
    <mergeCell ref="C2:D3"/>
    <mergeCell ref="E2:E3"/>
    <mergeCell ref="F2:F3"/>
    <mergeCell ref="G2:G3"/>
    <mergeCell ref="I2:I3"/>
    <mergeCell ref="J2:K3"/>
  </mergeCells>
  <conditionalFormatting sqref="AZ17 AZ19:AZ20 AZ23:AZ24 AZ26:AZ27">
    <cfRule type="containsText" dxfId="370" priority="321" operator="containsText" text="Achieved ">
      <formula>NOT(ISERROR(SEARCH("Achieved ",AZ17)))</formula>
    </cfRule>
    <cfRule type="containsText" dxfId="369" priority="322" operator="containsText" text="Achieved above target">
      <formula>NOT(ISERROR(SEARCH("Achieved above target",AZ17)))</formula>
    </cfRule>
  </conditionalFormatting>
  <conditionalFormatting sqref="AZ17 AZ19:AZ20 AZ23:AZ24 AZ26:AZ27">
    <cfRule type="containsText" dxfId="368" priority="316" operator="containsText" text="Part Achieved">
      <formula>NOT(ISERROR(SEARCH("Part Achieved",AZ17)))</formula>
    </cfRule>
    <cfRule type="containsText" dxfId="367" priority="317" operator="containsText" text="Achieved above target">
      <formula>NOT(ISERROR(SEARCH("Achieved above target",AZ17)))</formula>
    </cfRule>
    <cfRule type="containsText" dxfId="366" priority="318" operator="containsText" text="Not achieved">
      <formula>NOT(ISERROR(SEARCH("Not achieved",AZ17)))</formula>
    </cfRule>
    <cfRule type="containsText" dxfId="365" priority="319" operator="containsText" text="Not achieved">
      <formula>NOT(ISERROR(SEARCH("Not achieved",AZ17)))</formula>
    </cfRule>
    <cfRule type="containsText" dxfId="364" priority="320" operator="containsText" text="Achieved">
      <formula>NOT(ISERROR(SEARCH("Achieved",AZ17)))</formula>
    </cfRule>
  </conditionalFormatting>
  <conditionalFormatting sqref="BE26">
    <cfRule type="containsText" dxfId="363" priority="314" operator="containsText" text="Achieved ">
      <formula>NOT(ISERROR(SEARCH("Achieved ",BE26)))</formula>
    </cfRule>
    <cfRule type="containsText" dxfId="362" priority="315" operator="containsText" text="Achieved above target">
      <formula>NOT(ISERROR(SEARCH("Achieved above target",BE26)))</formula>
    </cfRule>
  </conditionalFormatting>
  <conditionalFormatting sqref="BE26">
    <cfRule type="containsText" dxfId="361" priority="309" operator="containsText" text="Part Achieved">
      <formula>NOT(ISERROR(SEARCH("Part Achieved",BE26)))</formula>
    </cfRule>
    <cfRule type="containsText" dxfId="360" priority="310" operator="containsText" text="Achieved above target">
      <formula>NOT(ISERROR(SEARCH("Achieved above target",BE26)))</formula>
    </cfRule>
    <cfRule type="containsText" dxfId="359" priority="311" operator="containsText" text="Not achieved">
      <formula>NOT(ISERROR(SEARCH("Not achieved",BE26)))</formula>
    </cfRule>
    <cfRule type="containsText" dxfId="358" priority="312" operator="containsText" text="Not achieved">
      <formula>NOT(ISERROR(SEARCH("Not achieved",BE26)))</formula>
    </cfRule>
    <cfRule type="containsText" dxfId="357" priority="313" operator="containsText" text="Achieved">
      <formula>NOT(ISERROR(SEARCH("Achieved",BE26)))</formula>
    </cfRule>
  </conditionalFormatting>
  <conditionalFormatting sqref="BD12 BD26:BD27">
    <cfRule type="containsText" dxfId="356" priority="307" operator="containsText" text="Achieved ">
      <formula>NOT(ISERROR(SEARCH("Achieved ",BD12)))</formula>
    </cfRule>
    <cfRule type="containsText" dxfId="355" priority="308" operator="containsText" text="Achieved above target">
      <formula>NOT(ISERROR(SEARCH("Achieved above target",BD12)))</formula>
    </cfRule>
  </conditionalFormatting>
  <conditionalFormatting sqref="BD12 BD26:BD27">
    <cfRule type="containsText" dxfId="354" priority="302" operator="containsText" text="Part Achieved">
      <formula>NOT(ISERROR(SEARCH("Part Achieved",BD12)))</formula>
    </cfRule>
    <cfRule type="containsText" dxfId="353" priority="303" operator="containsText" text="Achieved above target">
      <formula>NOT(ISERROR(SEARCH("Achieved above target",BD12)))</formula>
    </cfRule>
    <cfRule type="containsText" dxfId="352" priority="304" operator="containsText" text="Not achieved">
      <formula>NOT(ISERROR(SEARCH("Not achieved",BD12)))</formula>
    </cfRule>
    <cfRule type="containsText" dxfId="351" priority="305" operator="containsText" text="Not achieved">
      <formula>NOT(ISERROR(SEARCH("Not achieved",BD12)))</formula>
    </cfRule>
    <cfRule type="containsText" dxfId="350" priority="306" operator="containsText" text="Achieved">
      <formula>NOT(ISERROR(SEARCH("Achieved",BD12)))</formula>
    </cfRule>
  </conditionalFormatting>
  <conditionalFormatting sqref="BD17">
    <cfRule type="containsText" dxfId="349" priority="300" operator="containsText" text="Achieved ">
      <formula>NOT(ISERROR(SEARCH("Achieved ",BD17)))</formula>
    </cfRule>
    <cfRule type="containsText" dxfId="348" priority="301" operator="containsText" text="Achieved above target">
      <formula>NOT(ISERROR(SEARCH("Achieved above target",BD17)))</formula>
    </cfRule>
  </conditionalFormatting>
  <conditionalFormatting sqref="BD17">
    <cfRule type="containsText" dxfId="347" priority="295" operator="containsText" text="Part Achieved">
      <formula>NOT(ISERROR(SEARCH("Part Achieved",BD17)))</formula>
    </cfRule>
    <cfRule type="containsText" dxfId="346" priority="296" operator="containsText" text="Achieved above target">
      <formula>NOT(ISERROR(SEARCH("Achieved above target",BD17)))</formula>
    </cfRule>
    <cfRule type="containsText" dxfId="345" priority="297" operator="containsText" text="Not achieved">
      <formula>NOT(ISERROR(SEARCH("Not achieved",BD17)))</formula>
    </cfRule>
    <cfRule type="containsText" dxfId="344" priority="298" operator="containsText" text="Not achieved">
      <formula>NOT(ISERROR(SEARCH("Not achieved",BD17)))</formula>
    </cfRule>
    <cfRule type="containsText" dxfId="343" priority="299" operator="containsText" text="Achieved">
      <formula>NOT(ISERROR(SEARCH("Achieved",BD17)))</formula>
    </cfRule>
  </conditionalFormatting>
  <conditionalFormatting sqref="BD19">
    <cfRule type="containsText" dxfId="342" priority="293" operator="containsText" text="Achieved ">
      <formula>NOT(ISERROR(SEARCH("Achieved ",BD19)))</formula>
    </cfRule>
    <cfRule type="containsText" dxfId="341" priority="294" operator="containsText" text="Achieved above target">
      <formula>NOT(ISERROR(SEARCH("Achieved above target",BD19)))</formula>
    </cfRule>
  </conditionalFormatting>
  <conditionalFormatting sqref="BD19">
    <cfRule type="containsText" dxfId="340" priority="288" operator="containsText" text="Part Achieved">
      <formula>NOT(ISERROR(SEARCH("Part Achieved",BD19)))</formula>
    </cfRule>
    <cfRule type="containsText" dxfId="339" priority="289" operator="containsText" text="Achieved above target">
      <formula>NOT(ISERROR(SEARCH("Achieved above target",BD19)))</formula>
    </cfRule>
    <cfRule type="containsText" dxfId="338" priority="290" operator="containsText" text="Not achieved">
      <formula>NOT(ISERROR(SEARCH("Not achieved",BD19)))</formula>
    </cfRule>
    <cfRule type="containsText" dxfId="337" priority="291" operator="containsText" text="Not achieved">
      <formula>NOT(ISERROR(SEARCH("Not achieved",BD19)))</formula>
    </cfRule>
    <cfRule type="containsText" dxfId="336" priority="292" operator="containsText" text="Achieved">
      <formula>NOT(ISERROR(SEARCH("Achieved",BD19)))</formula>
    </cfRule>
  </conditionalFormatting>
  <conditionalFormatting sqref="BD20">
    <cfRule type="containsText" dxfId="335" priority="286" operator="containsText" text="Achieved ">
      <formula>NOT(ISERROR(SEARCH("Achieved ",BD20)))</formula>
    </cfRule>
    <cfRule type="containsText" dxfId="334" priority="287" operator="containsText" text="Achieved above target">
      <formula>NOT(ISERROR(SEARCH("Achieved above target",BD20)))</formula>
    </cfRule>
  </conditionalFormatting>
  <conditionalFormatting sqref="BD20">
    <cfRule type="containsText" dxfId="333" priority="281" operator="containsText" text="Part Achieved">
      <formula>NOT(ISERROR(SEARCH("Part Achieved",BD20)))</formula>
    </cfRule>
    <cfRule type="containsText" dxfId="332" priority="282" operator="containsText" text="Achieved above target">
      <formula>NOT(ISERROR(SEARCH("Achieved above target",BD20)))</formula>
    </cfRule>
    <cfRule type="containsText" dxfId="331" priority="283" operator="containsText" text="Not achieved">
      <formula>NOT(ISERROR(SEARCH("Not achieved",BD20)))</formula>
    </cfRule>
    <cfRule type="containsText" dxfId="330" priority="284" operator="containsText" text="Not achieved">
      <formula>NOT(ISERROR(SEARCH("Not achieved",BD20)))</formula>
    </cfRule>
    <cfRule type="containsText" dxfId="329" priority="285" operator="containsText" text="Achieved">
      <formula>NOT(ISERROR(SEARCH("Achieved",BD20)))</formula>
    </cfRule>
  </conditionalFormatting>
  <conditionalFormatting sqref="BD21">
    <cfRule type="containsText" dxfId="328" priority="279" operator="containsText" text="Achieved ">
      <formula>NOT(ISERROR(SEARCH("Achieved ",BD21)))</formula>
    </cfRule>
    <cfRule type="containsText" dxfId="327" priority="280" operator="containsText" text="Achieved above target">
      <formula>NOT(ISERROR(SEARCH("Achieved above target",BD21)))</formula>
    </cfRule>
  </conditionalFormatting>
  <conditionalFormatting sqref="BD21">
    <cfRule type="containsText" dxfId="326" priority="274" operator="containsText" text="Part Achieved">
      <formula>NOT(ISERROR(SEARCH("Part Achieved",BD21)))</formula>
    </cfRule>
    <cfRule type="containsText" dxfId="325" priority="275" operator="containsText" text="Achieved above target">
      <formula>NOT(ISERROR(SEARCH("Achieved above target",BD21)))</formula>
    </cfRule>
    <cfRule type="containsText" dxfId="324" priority="276" operator="containsText" text="Not achieved">
      <formula>NOT(ISERROR(SEARCH("Not achieved",BD21)))</formula>
    </cfRule>
    <cfRule type="containsText" dxfId="323" priority="277" operator="containsText" text="Not achieved">
      <formula>NOT(ISERROR(SEARCH("Not achieved",BD21)))</formula>
    </cfRule>
    <cfRule type="containsText" dxfId="322" priority="278" operator="containsText" text="Achieved">
      <formula>NOT(ISERROR(SEARCH("Achieved",BD21)))</formula>
    </cfRule>
  </conditionalFormatting>
  <conditionalFormatting sqref="AZ21">
    <cfRule type="containsText" dxfId="321" priority="272" operator="containsText" text="Achieved ">
      <formula>NOT(ISERROR(SEARCH("Achieved ",AZ21)))</formula>
    </cfRule>
    <cfRule type="containsText" dxfId="320" priority="273" operator="containsText" text="Achieved above target">
      <formula>NOT(ISERROR(SEARCH("Achieved above target",AZ21)))</formula>
    </cfRule>
  </conditionalFormatting>
  <conditionalFormatting sqref="AZ21">
    <cfRule type="containsText" dxfId="319" priority="267" operator="containsText" text="Part Achieved">
      <formula>NOT(ISERROR(SEARCH("Part Achieved",AZ21)))</formula>
    </cfRule>
    <cfRule type="containsText" dxfId="318" priority="268" operator="containsText" text="Achieved above target">
      <formula>NOT(ISERROR(SEARCH("Achieved above target",AZ21)))</formula>
    </cfRule>
    <cfRule type="containsText" dxfId="317" priority="269" operator="containsText" text="Not achieved">
      <formula>NOT(ISERROR(SEARCH("Not achieved",AZ21)))</formula>
    </cfRule>
    <cfRule type="containsText" dxfId="316" priority="270" operator="containsText" text="Not achieved">
      <formula>NOT(ISERROR(SEARCH("Not achieved",AZ21)))</formula>
    </cfRule>
    <cfRule type="containsText" dxfId="315" priority="271" operator="containsText" text="Achieved">
      <formula>NOT(ISERROR(SEARCH("Achieved",AZ21)))</formula>
    </cfRule>
  </conditionalFormatting>
  <conditionalFormatting sqref="BB22">
    <cfRule type="containsText" dxfId="314" priority="265" operator="containsText" text="Achieved ">
      <formula>NOT(ISERROR(SEARCH("Achieved ",BB22)))</formula>
    </cfRule>
    <cfRule type="containsText" dxfId="313" priority="266" operator="containsText" text="Achieved above target">
      <formula>NOT(ISERROR(SEARCH("Achieved above target",BB22)))</formula>
    </cfRule>
  </conditionalFormatting>
  <conditionalFormatting sqref="BB22">
    <cfRule type="containsText" dxfId="312" priority="260" operator="containsText" text="Part Achieved">
      <formula>NOT(ISERROR(SEARCH("Part Achieved",BB22)))</formula>
    </cfRule>
    <cfRule type="containsText" dxfId="311" priority="261" operator="containsText" text="Achieved above target">
      <formula>NOT(ISERROR(SEARCH("Achieved above target",BB22)))</formula>
    </cfRule>
    <cfRule type="containsText" dxfId="310" priority="262" operator="containsText" text="Not achieved">
      <formula>NOT(ISERROR(SEARCH("Not achieved",BB22)))</formula>
    </cfRule>
    <cfRule type="containsText" dxfId="309" priority="263" operator="containsText" text="Not achieved">
      <formula>NOT(ISERROR(SEARCH("Not achieved",BB22)))</formula>
    </cfRule>
    <cfRule type="containsText" dxfId="308" priority="264" operator="containsText" text="Achieved">
      <formula>NOT(ISERROR(SEARCH("Achieved",BB22)))</formula>
    </cfRule>
  </conditionalFormatting>
  <conditionalFormatting sqref="BD24">
    <cfRule type="containsText" dxfId="307" priority="258" operator="containsText" text="Achieved ">
      <formula>NOT(ISERROR(SEARCH("Achieved ",BD24)))</formula>
    </cfRule>
    <cfRule type="containsText" dxfId="306" priority="259" operator="containsText" text="Achieved above target">
      <formula>NOT(ISERROR(SEARCH("Achieved above target",BD24)))</formula>
    </cfRule>
  </conditionalFormatting>
  <conditionalFormatting sqref="BD24">
    <cfRule type="containsText" dxfId="305" priority="253" operator="containsText" text="Part Achieved">
      <formula>NOT(ISERROR(SEARCH("Part Achieved",BD24)))</formula>
    </cfRule>
    <cfRule type="containsText" dxfId="304" priority="254" operator="containsText" text="Achieved above target">
      <formula>NOT(ISERROR(SEARCH("Achieved above target",BD24)))</formula>
    </cfRule>
    <cfRule type="containsText" dxfId="303" priority="255" operator="containsText" text="Not achieved">
      <formula>NOT(ISERROR(SEARCH("Not achieved",BD24)))</formula>
    </cfRule>
    <cfRule type="containsText" dxfId="302" priority="256" operator="containsText" text="Not achieved">
      <formula>NOT(ISERROR(SEARCH("Not achieved",BD24)))</formula>
    </cfRule>
    <cfRule type="containsText" dxfId="301" priority="257" operator="containsText" text="Achieved">
      <formula>NOT(ISERROR(SEARCH("Achieved",BD24)))</formula>
    </cfRule>
  </conditionalFormatting>
  <conditionalFormatting sqref="BA4:BA5 BA22:BA27 BA7:BA20">
    <cfRule type="containsText" dxfId="300" priority="251" operator="containsText" text="Achieved ">
      <formula>NOT(ISERROR(SEARCH("Achieved ",BA4)))</formula>
    </cfRule>
    <cfRule type="containsText" dxfId="299" priority="252" operator="containsText" text="Achieved above target">
      <formula>NOT(ISERROR(SEARCH("Achieved above target",BA4)))</formula>
    </cfRule>
  </conditionalFormatting>
  <conditionalFormatting sqref="BA4:BA5 BA22:BA27 BA7:BA20">
    <cfRule type="containsText" dxfId="298" priority="246" operator="containsText" text="Part Achieved">
      <formula>NOT(ISERROR(SEARCH("Part Achieved",BA4)))</formula>
    </cfRule>
    <cfRule type="containsText" dxfId="297" priority="247" operator="containsText" text="Achieved above target">
      <formula>NOT(ISERROR(SEARCH("Achieved above target",BA4)))</formula>
    </cfRule>
    <cfRule type="containsText" dxfId="296" priority="248" operator="containsText" text="Not achieved">
      <formula>NOT(ISERROR(SEARCH("Not achieved",BA4)))</formula>
    </cfRule>
    <cfRule type="containsText" dxfId="295" priority="249" operator="containsText" text="Not achieved">
      <formula>NOT(ISERROR(SEARCH("Not achieved",BA4)))</formula>
    </cfRule>
    <cfRule type="containsText" dxfId="294" priority="250" operator="containsText" text="Achieved">
      <formula>NOT(ISERROR(SEARCH("Achieved",BA4)))</formula>
    </cfRule>
  </conditionalFormatting>
  <conditionalFormatting sqref="BA21:BB25">
    <cfRule type="containsText" dxfId="293" priority="244" operator="containsText" text="Achieved ">
      <formula>NOT(ISERROR(SEARCH("Achieved ",BA21)))</formula>
    </cfRule>
    <cfRule type="containsText" dxfId="292" priority="245" operator="containsText" text="Achieved above target">
      <formula>NOT(ISERROR(SEARCH("Achieved above target",BA21)))</formula>
    </cfRule>
  </conditionalFormatting>
  <conditionalFormatting sqref="BA21:BB25">
    <cfRule type="containsText" dxfId="291" priority="239" operator="containsText" text="Part Achieved">
      <formula>NOT(ISERROR(SEARCH("Part Achieved",BA21)))</formula>
    </cfRule>
    <cfRule type="containsText" dxfId="290" priority="240" operator="containsText" text="Achieved above target">
      <formula>NOT(ISERROR(SEARCH("Achieved above target",BA21)))</formula>
    </cfRule>
    <cfRule type="containsText" dxfId="289" priority="241" operator="containsText" text="Not achieved">
      <formula>NOT(ISERROR(SEARCH("Not achieved",BA21)))</formula>
    </cfRule>
    <cfRule type="containsText" dxfId="288" priority="242" operator="containsText" text="Not achieved">
      <formula>NOT(ISERROR(SEARCH("Not achieved",BA21)))</formula>
    </cfRule>
    <cfRule type="containsText" dxfId="287" priority="243" operator="containsText" text="Achieved">
      <formula>NOT(ISERROR(SEARCH("Achieved",BA21)))</formula>
    </cfRule>
  </conditionalFormatting>
  <conditionalFormatting sqref="BE4">
    <cfRule type="containsText" dxfId="286" priority="237" operator="containsText" text="Achieved ">
      <formula>NOT(ISERROR(SEARCH("Achieved ",BE4)))</formula>
    </cfRule>
    <cfRule type="containsText" dxfId="285" priority="238" operator="containsText" text="Achieved above target">
      <formula>NOT(ISERROR(SEARCH("Achieved above target",BE4)))</formula>
    </cfRule>
  </conditionalFormatting>
  <conditionalFormatting sqref="BE4">
    <cfRule type="containsText" dxfId="284" priority="232" operator="containsText" text="Part Achieved">
      <formula>NOT(ISERROR(SEARCH("Part Achieved",BE4)))</formula>
    </cfRule>
    <cfRule type="containsText" dxfId="283" priority="233" operator="containsText" text="Achieved above target">
      <formula>NOT(ISERROR(SEARCH("Achieved above target",BE4)))</formula>
    </cfRule>
    <cfRule type="containsText" dxfId="282" priority="234" operator="containsText" text="Not achieved">
      <formula>NOT(ISERROR(SEARCH("Not achieved",BE4)))</formula>
    </cfRule>
    <cfRule type="containsText" dxfId="281" priority="235" operator="containsText" text="Not achieved">
      <formula>NOT(ISERROR(SEARCH("Not achieved",BE4)))</formula>
    </cfRule>
    <cfRule type="containsText" dxfId="280" priority="236" operator="containsText" text="Achieved">
      <formula>NOT(ISERROR(SEARCH("Achieved",BE4)))</formula>
    </cfRule>
  </conditionalFormatting>
  <conditionalFormatting sqref="BB5">
    <cfRule type="containsText" dxfId="279" priority="230" operator="containsText" text="Achieved ">
      <formula>NOT(ISERROR(SEARCH("Achieved ",BB5)))</formula>
    </cfRule>
    <cfRule type="containsText" dxfId="278" priority="231" operator="containsText" text="Achieved above target">
      <formula>NOT(ISERROR(SEARCH("Achieved above target",BB5)))</formula>
    </cfRule>
  </conditionalFormatting>
  <conditionalFormatting sqref="BB5">
    <cfRule type="containsText" dxfId="277" priority="225" operator="containsText" text="Part Achieved">
      <formula>NOT(ISERROR(SEARCH("Part Achieved",BB5)))</formula>
    </cfRule>
    <cfRule type="containsText" dxfId="276" priority="226" operator="containsText" text="Achieved above target">
      <formula>NOT(ISERROR(SEARCH("Achieved above target",BB5)))</formula>
    </cfRule>
    <cfRule type="containsText" dxfId="275" priority="227" operator="containsText" text="Not achieved">
      <formula>NOT(ISERROR(SEARCH("Not achieved",BB5)))</formula>
    </cfRule>
    <cfRule type="containsText" dxfId="274" priority="228" operator="containsText" text="Not achieved">
      <formula>NOT(ISERROR(SEARCH("Not achieved",BB5)))</formula>
    </cfRule>
    <cfRule type="containsText" dxfId="273" priority="229" operator="containsText" text="Achieved">
      <formula>NOT(ISERROR(SEARCH("Achieved",BB5)))</formula>
    </cfRule>
  </conditionalFormatting>
  <conditionalFormatting sqref="BE5">
    <cfRule type="containsText" dxfId="272" priority="223" operator="containsText" text="Achieved ">
      <formula>NOT(ISERROR(SEARCH("Achieved ",BE5)))</formula>
    </cfRule>
    <cfRule type="containsText" dxfId="271" priority="224" operator="containsText" text="Achieved above target">
      <formula>NOT(ISERROR(SEARCH("Achieved above target",BE5)))</formula>
    </cfRule>
  </conditionalFormatting>
  <conditionalFormatting sqref="BE5">
    <cfRule type="containsText" dxfId="270" priority="218" operator="containsText" text="Part Achieved">
      <formula>NOT(ISERROR(SEARCH("Part Achieved",BE5)))</formula>
    </cfRule>
    <cfRule type="containsText" dxfId="269" priority="219" operator="containsText" text="Achieved above target">
      <formula>NOT(ISERROR(SEARCH("Achieved above target",BE5)))</formula>
    </cfRule>
    <cfRule type="containsText" dxfId="268" priority="220" operator="containsText" text="Not achieved">
      <formula>NOT(ISERROR(SEARCH("Not achieved",BE5)))</formula>
    </cfRule>
    <cfRule type="containsText" dxfId="267" priority="221" operator="containsText" text="Not achieved">
      <formula>NOT(ISERROR(SEARCH("Not achieved",BE5)))</formula>
    </cfRule>
    <cfRule type="containsText" dxfId="266" priority="222" operator="containsText" text="Achieved">
      <formula>NOT(ISERROR(SEARCH("Achieved",BE5)))</formula>
    </cfRule>
  </conditionalFormatting>
  <conditionalFormatting sqref="BF5">
    <cfRule type="containsText" dxfId="265" priority="216" operator="containsText" text="Achieved ">
      <formula>NOT(ISERROR(SEARCH("Achieved ",BF5)))</formula>
    </cfRule>
    <cfRule type="containsText" dxfId="264" priority="217" operator="containsText" text="Achieved above target">
      <formula>NOT(ISERROR(SEARCH("Achieved above target",BF5)))</formula>
    </cfRule>
  </conditionalFormatting>
  <conditionalFormatting sqref="BF5">
    <cfRule type="containsText" dxfId="263" priority="211" operator="containsText" text="Part Achieved">
      <formula>NOT(ISERROR(SEARCH("Part Achieved",BF5)))</formula>
    </cfRule>
    <cfRule type="containsText" dxfId="262" priority="212" operator="containsText" text="Achieved above target">
      <formula>NOT(ISERROR(SEARCH("Achieved above target",BF5)))</formula>
    </cfRule>
    <cfRule type="containsText" dxfId="261" priority="213" operator="containsText" text="Not achieved">
      <formula>NOT(ISERROR(SEARCH("Not achieved",BF5)))</formula>
    </cfRule>
    <cfRule type="containsText" dxfId="260" priority="214" operator="containsText" text="Not achieved">
      <formula>NOT(ISERROR(SEARCH("Not achieved",BF5)))</formula>
    </cfRule>
    <cfRule type="containsText" dxfId="259" priority="215" operator="containsText" text="Achieved">
      <formula>NOT(ISERROR(SEARCH("Achieved",BF5)))</formula>
    </cfRule>
  </conditionalFormatting>
  <conditionalFormatting sqref="BE7">
    <cfRule type="containsText" dxfId="258" priority="209" operator="containsText" text="Achieved ">
      <formula>NOT(ISERROR(SEARCH("Achieved ",BE7)))</formula>
    </cfRule>
    <cfRule type="containsText" dxfId="257" priority="210" operator="containsText" text="Achieved above target">
      <formula>NOT(ISERROR(SEARCH("Achieved above target",BE7)))</formula>
    </cfRule>
  </conditionalFormatting>
  <conditionalFormatting sqref="BE7">
    <cfRule type="containsText" dxfId="256" priority="204" operator="containsText" text="Part Achieved">
      <formula>NOT(ISERROR(SEARCH("Part Achieved",BE7)))</formula>
    </cfRule>
    <cfRule type="containsText" dxfId="255" priority="205" operator="containsText" text="Achieved above target">
      <formula>NOT(ISERROR(SEARCH("Achieved above target",BE7)))</formula>
    </cfRule>
    <cfRule type="containsText" dxfId="254" priority="206" operator="containsText" text="Not achieved">
      <formula>NOT(ISERROR(SEARCH("Not achieved",BE7)))</formula>
    </cfRule>
    <cfRule type="containsText" dxfId="253" priority="207" operator="containsText" text="Not achieved">
      <formula>NOT(ISERROR(SEARCH("Not achieved",BE7)))</formula>
    </cfRule>
    <cfRule type="containsText" dxfId="252" priority="208" operator="containsText" text="Achieved">
      <formula>NOT(ISERROR(SEARCH("Achieved",BE7)))</formula>
    </cfRule>
  </conditionalFormatting>
  <conditionalFormatting sqref="BE8">
    <cfRule type="containsText" dxfId="251" priority="202" operator="containsText" text="Achieved ">
      <formula>NOT(ISERROR(SEARCH("Achieved ",BE8)))</formula>
    </cfRule>
    <cfRule type="containsText" dxfId="250" priority="203" operator="containsText" text="Achieved above target">
      <formula>NOT(ISERROR(SEARCH("Achieved above target",BE8)))</formula>
    </cfRule>
  </conditionalFormatting>
  <conditionalFormatting sqref="BE8">
    <cfRule type="containsText" dxfId="249" priority="197" operator="containsText" text="Part Achieved">
      <formula>NOT(ISERROR(SEARCH("Part Achieved",BE8)))</formula>
    </cfRule>
    <cfRule type="containsText" dxfId="248" priority="198" operator="containsText" text="Achieved above target">
      <formula>NOT(ISERROR(SEARCH("Achieved above target",BE8)))</formula>
    </cfRule>
    <cfRule type="containsText" dxfId="247" priority="199" operator="containsText" text="Not achieved">
      <formula>NOT(ISERROR(SEARCH("Not achieved",BE8)))</formula>
    </cfRule>
    <cfRule type="containsText" dxfId="246" priority="200" operator="containsText" text="Not achieved">
      <formula>NOT(ISERROR(SEARCH("Not achieved",BE8)))</formula>
    </cfRule>
    <cfRule type="containsText" dxfId="245" priority="201" operator="containsText" text="Achieved">
      <formula>NOT(ISERROR(SEARCH("Achieved",BE8)))</formula>
    </cfRule>
  </conditionalFormatting>
  <conditionalFormatting sqref="BE9">
    <cfRule type="containsText" dxfId="244" priority="195" operator="containsText" text="Achieved ">
      <formula>NOT(ISERROR(SEARCH("Achieved ",BE9)))</formula>
    </cfRule>
    <cfRule type="containsText" dxfId="243" priority="196" operator="containsText" text="Achieved above target">
      <formula>NOT(ISERROR(SEARCH("Achieved above target",BE9)))</formula>
    </cfRule>
  </conditionalFormatting>
  <conditionalFormatting sqref="BE9">
    <cfRule type="containsText" dxfId="242" priority="190" operator="containsText" text="Part Achieved">
      <formula>NOT(ISERROR(SEARCH("Part Achieved",BE9)))</formula>
    </cfRule>
    <cfRule type="containsText" dxfId="241" priority="191" operator="containsText" text="Achieved above target">
      <formula>NOT(ISERROR(SEARCH("Achieved above target",BE9)))</formula>
    </cfRule>
    <cfRule type="containsText" dxfId="240" priority="192" operator="containsText" text="Not achieved">
      <formula>NOT(ISERROR(SEARCH("Not achieved",BE9)))</formula>
    </cfRule>
    <cfRule type="containsText" dxfId="239" priority="193" operator="containsText" text="Not achieved">
      <formula>NOT(ISERROR(SEARCH("Not achieved",BE9)))</formula>
    </cfRule>
    <cfRule type="containsText" dxfId="238" priority="194" operator="containsText" text="Achieved">
      <formula>NOT(ISERROR(SEARCH("Achieved",BE9)))</formula>
    </cfRule>
  </conditionalFormatting>
  <conditionalFormatting sqref="BB10">
    <cfRule type="containsText" dxfId="237" priority="188" operator="containsText" text="Achieved ">
      <formula>NOT(ISERROR(SEARCH("Achieved ",BB10)))</formula>
    </cfRule>
    <cfRule type="containsText" dxfId="236" priority="189" operator="containsText" text="Achieved above target">
      <formula>NOT(ISERROR(SEARCH("Achieved above target",BB10)))</formula>
    </cfRule>
  </conditionalFormatting>
  <conditionalFormatting sqref="BB10">
    <cfRule type="containsText" dxfId="235" priority="183" operator="containsText" text="Part Achieved">
      <formula>NOT(ISERROR(SEARCH("Part Achieved",BB10)))</formula>
    </cfRule>
    <cfRule type="containsText" dxfId="234" priority="184" operator="containsText" text="Achieved above target">
      <formula>NOT(ISERROR(SEARCH("Achieved above target",BB10)))</formula>
    </cfRule>
    <cfRule type="containsText" dxfId="233" priority="185" operator="containsText" text="Not achieved">
      <formula>NOT(ISERROR(SEARCH("Not achieved",BB10)))</formula>
    </cfRule>
    <cfRule type="containsText" dxfId="232" priority="186" operator="containsText" text="Not achieved">
      <formula>NOT(ISERROR(SEARCH("Not achieved",BB10)))</formula>
    </cfRule>
    <cfRule type="containsText" dxfId="231" priority="187" operator="containsText" text="Achieved">
      <formula>NOT(ISERROR(SEARCH("Achieved",BB10)))</formula>
    </cfRule>
  </conditionalFormatting>
  <conditionalFormatting sqref="BE10">
    <cfRule type="containsText" dxfId="230" priority="181" operator="containsText" text="Achieved ">
      <formula>NOT(ISERROR(SEARCH("Achieved ",BE10)))</formula>
    </cfRule>
    <cfRule type="containsText" dxfId="229" priority="182" operator="containsText" text="Achieved above target">
      <formula>NOT(ISERROR(SEARCH("Achieved above target",BE10)))</formula>
    </cfRule>
  </conditionalFormatting>
  <conditionalFormatting sqref="BE10">
    <cfRule type="containsText" dxfId="228" priority="176" operator="containsText" text="Part Achieved">
      <formula>NOT(ISERROR(SEARCH("Part Achieved",BE10)))</formula>
    </cfRule>
    <cfRule type="containsText" dxfId="227" priority="177" operator="containsText" text="Achieved above target">
      <formula>NOT(ISERROR(SEARCH("Achieved above target",BE10)))</formula>
    </cfRule>
    <cfRule type="containsText" dxfId="226" priority="178" operator="containsText" text="Not achieved">
      <formula>NOT(ISERROR(SEARCH("Not achieved",BE10)))</formula>
    </cfRule>
    <cfRule type="containsText" dxfId="225" priority="179" operator="containsText" text="Not achieved">
      <formula>NOT(ISERROR(SEARCH("Not achieved",BE10)))</formula>
    </cfRule>
    <cfRule type="containsText" dxfId="224" priority="180" operator="containsText" text="Achieved">
      <formula>NOT(ISERROR(SEARCH("Achieved",BE10)))</formula>
    </cfRule>
  </conditionalFormatting>
  <conditionalFormatting sqref="BF10">
    <cfRule type="containsText" dxfId="223" priority="174" operator="containsText" text="Achieved ">
      <formula>NOT(ISERROR(SEARCH("Achieved ",BF10)))</formula>
    </cfRule>
    <cfRule type="containsText" dxfId="222" priority="175" operator="containsText" text="Achieved above target">
      <formula>NOT(ISERROR(SEARCH("Achieved above target",BF10)))</formula>
    </cfRule>
  </conditionalFormatting>
  <conditionalFormatting sqref="BF10">
    <cfRule type="containsText" dxfId="221" priority="169" operator="containsText" text="Part Achieved">
      <formula>NOT(ISERROR(SEARCH("Part Achieved",BF10)))</formula>
    </cfRule>
    <cfRule type="containsText" dxfId="220" priority="170" operator="containsText" text="Achieved above target">
      <formula>NOT(ISERROR(SEARCH("Achieved above target",BF10)))</formula>
    </cfRule>
    <cfRule type="containsText" dxfId="219" priority="171" operator="containsText" text="Not achieved">
      <formula>NOT(ISERROR(SEARCH("Not achieved",BF10)))</formula>
    </cfRule>
    <cfRule type="containsText" dxfId="218" priority="172" operator="containsText" text="Not achieved">
      <formula>NOT(ISERROR(SEARCH("Not achieved",BF10)))</formula>
    </cfRule>
    <cfRule type="containsText" dxfId="217" priority="173" operator="containsText" text="Achieved">
      <formula>NOT(ISERROR(SEARCH("Achieved",BF10)))</formula>
    </cfRule>
  </conditionalFormatting>
  <conditionalFormatting sqref="BE11:BF11">
    <cfRule type="containsText" dxfId="216" priority="167" operator="containsText" text="Achieved ">
      <formula>NOT(ISERROR(SEARCH("Achieved ",BE11)))</formula>
    </cfRule>
    <cfRule type="containsText" dxfId="215" priority="168" operator="containsText" text="Achieved above target">
      <formula>NOT(ISERROR(SEARCH("Achieved above target",BE11)))</formula>
    </cfRule>
  </conditionalFormatting>
  <conditionalFormatting sqref="BE11:BF11">
    <cfRule type="containsText" dxfId="214" priority="162" operator="containsText" text="Part Achieved">
      <formula>NOT(ISERROR(SEARCH("Part Achieved",BE11)))</formula>
    </cfRule>
    <cfRule type="containsText" dxfId="213" priority="163" operator="containsText" text="Achieved above target">
      <formula>NOT(ISERROR(SEARCH("Achieved above target",BE11)))</formula>
    </cfRule>
    <cfRule type="containsText" dxfId="212" priority="164" operator="containsText" text="Not achieved">
      <formula>NOT(ISERROR(SEARCH("Not achieved",BE11)))</formula>
    </cfRule>
    <cfRule type="containsText" dxfId="211" priority="165" operator="containsText" text="Not achieved">
      <formula>NOT(ISERROR(SEARCH("Not achieved",BE11)))</formula>
    </cfRule>
    <cfRule type="containsText" dxfId="210" priority="166" operator="containsText" text="Achieved">
      <formula>NOT(ISERROR(SEARCH("Achieved",BE11)))</formula>
    </cfRule>
  </conditionalFormatting>
  <conditionalFormatting sqref="BB12">
    <cfRule type="containsText" dxfId="209" priority="160" operator="containsText" text="Achieved ">
      <formula>NOT(ISERROR(SEARCH("Achieved ",BB12)))</formula>
    </cfRule>
    <cfRule type="containsText" dxfId="208" priority="161" operator="containsText" text="Achieved above target">
      <formula>NOT(ISERROR(SEARCH("Achieved above target",BB12)))</formula>
    </cfRule>
  </conditionalFormatting>
  <conditionalFormatting sqref="BB12">
    <cfRule type="containsText" dxfId="207" priority="155" operator="containsText" text="Part Achieved">
      <formula>NOT(ISERROR(SEARCH("Part Achieved",BB12)))</formula>
    </cfRule>
    <cfRule type="containsText" dxfId="206" priority="156" operator="containsText" text="Achieved above target">
      <formula>NOT(ISERROR(SEARCH("Achieved above target",BB12)))</formula>
    </cfRule>
    <cfRule type="containsText" dxfId="205" priority="157" operator="containsText" text="Not achieved">
      <formula>NOT(ISERROR(SEARCH("Not achieved",BB12)))</formula>
    </cfRule>
    <cfRule type="containsText" dxfId="204" priority="158" operator="containsText" text="Not achieved">
      <formula>NOT(ISERROR(SEARCH("Not achieved",BB12)))</formula>
    </cfRule>
    <cfRule type="containsText" dxfId="203" priority="159" operator="containsText" text="Achieved">
      <formula>NOT(ISERROR(SEARCH("Achieved",BB12)))</formula>
    </cfRule>
  </conditionalFormatting>
  <conditionalFormatting sqref="BE12">
    <cfRule type="containsText" dxfId="202" priority="153" operator="containsText" text="Achieved ">
      <formula>NOT(ISERROR(SEARCH("Achieved ",BE12)))</formula>
    </cfRule>
    <cfRule type="containsText" dxfId="201" priority="154" operator="containsText" text="Achieved above target">
      <formula>NOT(ISERROR(SEARCH("Achieved above target",BE12)))</formula>
    </cfRule>
  </conditionalFormatting>
  <conditionalFormatting sqref="BE12">
    <cfRule type="containsText" dxfId="200" priority="148" operator="containsText" text="Part Achieved">
      <formula>NOT(ISERROR(SEARCH("Part Achieved",BE12)))</formula>
    </cfRule>
    <cfRule type="containsText" dxfId="199" priority="149" operator="containsText" text="Achieved above target">
      <formula>NOT(ISERROR(SEARCH("Achieved above target",BE12)))</formula>
    </cfRule>
    <cfRule type="containsText" dxfId="198" priority="150" operator="containsText" text="Not achieved">
      <formula>NOT(ISERROR(SEARCH("Not achieved",BE12)))</formula>
    </cfRule>
    <cfRule type="containsText" dxfId="197" priority="151" operator="containsText" text="Not achieved">
      <formula>NOT(ISERROR(SEARCH("Not achieved",BE12)))</formula>
    </cfRule>
    <cfRule type="containsText" dxfId="196" priority="152" operator="containsText" text="Achieved">
      <formula>NOT(ISERROR(SEARCH("Achieved",BE12)))</formula>
    </cfRule>
  </conditionalFormatting>
  <conditionalFormatting sqref="BF12">
    <cfRule type="containsText" dxfId="195" priority="146" operator="containsText" text="Achieved ">
      <formula>NOT(ISERROR(SEARCH("Achieved ",BF12)))</formula>
    </cfRule>
    <cfRule type="containsText" dxfId="194" priority="147" operator="containsText" text="Achieved above target">
      <formula>NOT(ISERROR(SEARCH("Achieved above target",BF12)))</formula>
    </cfRule>
  </conditionalFormatting>
  <conditionalFormatting sqref="BF12">
    <cfRule type="containsText" dxfId="193" priority="141" operator="containsText" text="Part Achieved">
      <formula>NOT(ISERROR(SEARCH("Part Achieved",BF12)))</formula>
    </cfRule>
    <cfRule type="containsText" dxfId="192" priority="142" operator="containsText" text="Achieved above target">
      <formula>NOT(ISERROR(SEARCH("Achieved above target",BF12)))</formula>
    </cfRule>
    <cfRule type="containsText" dxfId="191" priority="143" operator="containsText" text="Not achieved">
      <formula>NOT(ISERROR(SEARCH("Not achieved",BF12)))</formula>
    </cfRule>
    <cfRule type="containsText" dxfId="190" priority="144" operator="containsText" text="Not achieved">
      <formula>NOT(ISERROR(SEARCH("Not achieved",BF12)))</formula>
    </cfRule>
    <cfRule type="containsText" dxfId="189" priority="145" operator="containsText" text="Achieved">
      <formula>NOT(ISERROR(SEARCH("Achieved",BF12)))</formula>
    </cfRule>
  </conditionalFormatting>
  <conditionalFormatting sqref="BE13">
    <cfRule type="containsText" dxfId="188" priority="139" operator="containsText" text="Achieved ">
      <formula>NOT(ISERROR(SEARCH("Achieved ",BE13)))</formula>
    </cfRule>
    <cfRule type="containsText" dxfId="187" priority="140" operator="containsText" text="Achieved above target">
      <formula>NOT(ISERROR(SEARCH("Achieved above target",BE13)))</formula>
    </cfRule>
  </conditionalFormatting>
  <conditionalFormatting sqref="BE13">
    <cfRule type="containsText" dxfId="186" priority="134" operator="containsText" text="Part Achieved">
      <formula>NOT(ISERROR(SEARCH("Part Achieved",BE13)))</formula>
    </cfRule>
    <cfRule type="containsText" dxfId="185" priority="135" operator="containsText" text="Achieved above target">
      <formula>NOT(ISERROR(SEARCH("Achieved above target",BE13)))</formula>
    </cfRule>
    <cfRule type="containsText" dxfId="184" priority="136" operator="containsText" text="Not achieved">
      <formula>NOT(ISERROR(SEARCH("Not achieved",BE13)))</formula>
    </cfRule>
    <cfRule type="containsText" dxfId="183" priority="137" operator="containsText" text="Not achieved">
      <formula>NOT(ISERROR(SEARCH("Not achieved",BE13)))</formula>
    </cfRule>
    <cfRule type="containsText" dxfId="182" priority="138" operator="containsText" text="Achieved">
      <formula>NOT(ISERROR(SEARCH("Achieved",BE13)))</formula>
    </cfRule>
  </conditionalFormatting>
  <conditionalFormatting sqref="BE14">
    <cfRule type="containsText" dxfId="181" priority="132" operator="containsText" text="Achieved ">
      <formula>NOT(ISERROR(SEARCH("Achieved ",BE14)))</formula>
    </cfRule>
    <cfRule type="containsText" dxfId="180" priority="133" operator="containsText" text="Achieved above target">
      <formula>NOT(ISERROR(SEARCH("Achieved above target",BE14)))</formula>
    </cfRule>
  </conditionalFormatting>
  <conditionalFormatting sqref="BE14">
    <cfRule type="containsText" dxfId="179" priority="127" operator="containsText" text="Part Achieved">
      <formula>NOT(ISERROR(SEARCH("Part Achieved",BE14)))</formula>
    </cfRule>
    <cfRule type="containsText" dxfId="178" priority="128" operator="containsText" text="Achieved above target">
      <formula>NOT(ISERROR(SEARCH("Achieved above target",BE14)))</formula>
    </cfRule>
    <cfRule type="containsText" dxfId="177" priority="129" operator="containsText" text="Not achieved">
      <formula>NOT(ISERROR(SEARCH("Not achieved",BE14)))</formula>
    </cfRule>
    <cfRule type="containsText" dxfId="176" priority="130" operator="containsText" text="Not achieved">
      <formula>NOT(ISERROR(SEARCH("Not achieved",BE14)))</formula>
    </cfRule>
    <cfRule type="containsText" dxfId="175" priority="131" operator="containsText" text="Achieved">
      <formula>NOT(ISERROR(SEARCH("Achieved",BE14)))</formula>
    </cfRule>
  </conditionalFormatting>
  <conditionalFormatting sqref="BB15:BB16">
    <cfRule type="containsText" dxfId="174" priority="125" operator="containsText" text="Achieved ">
      <formula>NOT(ISERROR(SEARCH("Achieved ",BB15)))</formula>
    </cfRule>
    <cfRule type="containsText" dxfId="173" priority="126" operator="containsText" text="Achieved above target">
      <formula>NOT(ISERROR(SEARCH("Achieved above target",BB15)))</formula>
    </cfRule>
  </conditionalFormatting>
  <conditionalFormatting sqref="BB15:BB16">
    <cfRule type="containsText" dxfId="172" priority="120" operator="containsText" text="Part Achieved">
      <formula>NOT(ISERROR(SEARCH("Part Achieved",BB15)))</formula>
    </cfRule>
    <cfRule type="containsText" dxfId="171" priority="121" operator="containsText" text="Achieved above target">
      <formula>NOT(ISERROR(SEARCH("Achieved above target",BB15)))</formula>
    </cfRule>
    <cfRule type="containsText" dxfId="170" priority="122" operator="containsText" text="Not achieved">
      <formula>NOT(ISERROR(SEARCH("Not achieved",BB15)))</formula>
    </cfRule>
    <cfRule type="containsText" dxfId="169" priority="123" operator="containsText" text="Not achieved">
      <formula>NOT(ISERROR(SEARCH("Not achieved",BB15)))</formula>
    </cfRule>
    <cfRule type="containsText" dxfId="168" priority="124" operator="containsText" text="Achieved">
      <formula>NOT(ISERROR(SEARCH("Achieved",BB15)))</formula>
    </cfRule>
  </conditionalFormatting>
  <conditionalFormatting sqref="BE15:BF15">
    <cfRule type="containsText" dxfId="167" priority="118" operator="containsText" text="Achieved ">
      <formula>NOT(ISERROR(SEARCH("Achieved ",BE15)))</formula>
    </cfRule>
    <cfRule type="containsText" dxfId="166" priority="119" operator="containsText" text="Achieved above target">
      <formula>NOT(ISERROR(SEARCH("Achieved above target",BE15)))</formula>
    </cfRule>
  </conditionalFormatting>
  <conditionalFormatting sqref="BE15:BF15">
    <cfRule type="containsText" dxfId="165" priority="113" operator="containsText" text="Part Achieved">
      <formula>NOT(ISERROR(SEARCH("Part Achieved",BE15)))</formula>
    </cfRule>
    <cfRule type="containsText" dxfId="164" priority="114" operator="containsText" text="Achieved above target">
      <formula>NOT(ISERROR(SEARCH("Achieved above target",BE15)))</formula>
    </cfRule>
    <cfRule type="containsText" dxfId="163" priority="115" operator="containsText" text="Not achieved">
      <formula>NOT(ISERROR(SEARCH("Not achieved",BE15)))</formula>
    </cfRule>
    <cfRule type="containsText" dxfId="162" priority="116" operator="containsText" text="Not achieved">
      <formula>NOT(ISERROR(SEARCH("Not achieved",BE15)))</formula>
    </cfRule>
    <cfRule type="containsText" dxfId="161" priority="117" operator="containsText" text="Achieved">
      <formula>NOT(ISERROR(SEARCH("Achieved",BE15)))</formula>
    </cfRule>
  </conditionalFormatting>
  <conditionalFormatting sqref="BE16">
    <cfRule type="containsText" dxfId="160" priority="111" operator="containsText" text="Achieved ">
      <formula>NOT(ISERROR(SEARCH("Achieved ",BE16)))</formula>
    </cfRule>
    <cfRule type="containsText" dxfId="159" priority="112" operator="containsText" text="Achieved above target">
      <formula>NOT(ISERROR(SEARCH("Achieved above target",BE16)))</formula>
    </cfRule>
  </conditionalFormatting>
  <conditionalFormatting sqref="BE16">
    <cfRule type="containsText" dxfId="158" priority="106" operator="containsText" text="Part Achieved">
      <formula>NOT(ISERROR(SEARCH("Part Achieved",BE16)))</formula>
    </cfRule>
    <cfRule type="containsText" dxfId="157" priority="107" operator="containsText" text="Achieved above target">
      <formula>NOT(ISERROR(SEARCH("Achieved above target",BE16)))</formula>
    </cfRule>
    <cfRule type="containsText" dxfId="156" priority="108" operator="containsText" text="Not achieved">
      <formula>NOT(ISERROR(SEARCH("Not achieved",BE16)))</formula>
    </cfRule>
    <cfRule type="containsText" dxfId="155" priority="109" operator="containsText" text="Not achieved">
      <formula>NOT(ISERROR(SEARCH("Not achieved",BE16)))</formula>
    </cfRule>
    <cfRule type="containsText" dxfId="154" priority="110" operator="containsText" text="Achieved">
      <formula>NOT(ISERROR(SEARCH("Achieved",BE16)))</formula>
    </cfRule>
  </conditionalFormatting>
  <conditionalFormatting sqref="BF16">
    <cfRule type="containsText" dxfId="153" priority="104" operator="containsText" text="Achieved ">
      <formula>NOT(ISERROR(SEARCH("Achieved ",BF16)))</formula>
    </cfRule>
    <cfRule type="containsText" dxfId="152" priority="105" operator="containsText" text="Achieved above target">
      <formula>NOT(ISERROR(SEARCH("Achieved above target",BF16)))</formula>
    </cfRule>
  </conditionalFormatting>
  <conditionalFormatting sqref="BF16">
    <cfRule type="containsText" dxfId="151" priority="99" operator="containsText" text="Part Achieved">
      <formula>NOT(ISERROR(SEARCH("Part Achieved",BF16)))</formula>
    </cfRule>
    <cfRule type="containsText" dxfId="150" priority="100" operator="containsText" text="Achieved above target">
      <formula>NOT(ISERROR(SEARCH("Achieved above target",BF16)))</formula>
    </cfRule>
    <cfRule type="containsText" dxfId="149" priority="101" operator="containsText" text="Not achieved">
      <formula>NOT(ISERROR(SEARCH("Not achieved",BF16)))</formula>
    </cfRule>
    <cfRule type="containsText" dxfId="148" priority="102" operator="containsText" text="Not achieved">
      <formula>NOT(ISERROR(SEARCH("Not achieved",BF16)))</formula>
    </cfRule>
    <cfRule type="containsText" dxfId="147" priority="103" operator="containsText" text="Achieved">
      <formula>NOT(ISERROR(SEARCH("Achieved",BF16)))</formula>
    </cfRule>
  </conditionalFormatting>
  <conditionalFormatting sqref="BE17">
    <cfRule type="containsText" dxfId="146" priority="97" operator="containsText" text="Achieved ">
      <formula>NOT(ISERROR(SEARCH("Achieved ",BE17)))</formula>
    </cfRule>
    <cfRule type="containsText" dxfId="145" priority="98" operator="containsText" text="Achieved above target">
      <formula>NOT(ISERROR(SEARCH("Achieved above target",BE17)))</formula>
    </cfRule>
  </conditionalFormatting>
  <conditionalFormatting sqref="BE17">
    <cfRule type="containsText" dxfId="144" priority="92" operator="containsText" text="Part Achieved">
      <formula>NOT(ISERROR(SEARCH("Part Achieved",BE17)))</formula>
    </cfRule>
    <cfRule type="containsText" dxfId="143" priority="93" operator="containsText" text="Achieved above target">
      <formula>NOT(ISERROR(SEARCH("Achieved above target",BE17)))</formula>
    </cfRule>
    <cfRule type="containsText" dxfId="142" priority="94" operator="containsText" text="Not achieved">
      <formula>NOT(ISERROR(SEARCH("Not achieved",BE17)))</formula>
    </cfRule>
    <cfRule type="containsText" dxfId="141" priority="95" operator="containsText" text="Not achieved">
      <formula>NOT(ISERROR(SEARCH("Not achieved",BE17)))</formula>
    </cfRule>
    <cfRule type="containsText" dxfId="140" priority="96" operator="containsText" text="Achieved">
      <formula>NOT(ISERROR(SEARCH("Achieved",BE17)))</formula>
    </cfRule>
  </conditionalFormatting>
  <conditionalFormatting sqref="BE18">
    <cfRule type="containsText" dxfId="139" priority="90" operator="containsText" text="Achieved ">
      <formula>NOT(ISERROR(SEARCH("Achieved ",BE18)))</formula>
    </cfRule>
    <cfRule type="containsText" dxfId="138" priority="91" operator="containsText" text="Achieved above target">
      <formula>NOT(ISERROR(SEARCH("Achieved above target",BE18)))</formula>
    </cfRule>
  </conditionalFormatting>
  <conditionalFormatting sqref="BE18">
    <cfRule type="containsText" dxfId="137" priority="85" operator="containsText" text="Part Achieved">
      <formula>NOT(ISERROR(SEARCH("Part Achieved",BE18)))</formula>
    </cfRule>
    <cfRule type="containsText" dxfId="136" priority="86" operator="containsText" text="Achieved above target">
      <formula>NOT(ISERROR(SEARCH("Achieved above target",BE18)))</formula>
    </cfRule>
    <cfRule type="containsText" dxfId="135" priority="87" operator="containsText" text="Not achieved">
      <formula>NOT(ISERROR(SEARCH("Not achieved",BE18)))</formula>
    </cfRule>
    <cfRule type="containsText" dxfId="134" priority="88" operator="containsText" text="Not achieved">
      <formula>NOT(ISERROR(SEARCH("Not achieved",BE18)))</formula>
    </cfRule>
    <cfRule type="containsText" dxfId="133" priority="89" operator="containsText" text="Achieved">
      <formula>NOT(ISERROR(SEARCH("Achieved",BE18)))</formula>
    </cfRule>
  </conditionalFormatting>
  <conditionalFormatting sqref="BE19">
    <cfRule type="containsText" dxfId="132" priority="83" operator="containsText" text="Achieved ">
      <formula>NOT(ISERROR(SEARCH("Achieved ",BE19)))</formula>
    </cfRule>
    <cfRule type="containsText" dxfId="131" priority="84" operator="containsText" text="Achieved above target">
      <formula>NOT(ISERROR(SEARCH("Achieved above target",BE19)))</formula>
    </cfRule>
  </conditionalFormatting>
  <conditionalFormatting sqref="BE19">
    <cfRule type="containsText" dxfId="130" priority="78" operator="containsText" text="Part Achieved">
      <formula>NOT(ISERROR(SEARCH("Part Achieved",BE19)))</formula>
    </cfRule>
    <cfRule type="containsText" dxfId="129" priority="79" operator="containsText" text="Achieved above target">
      <formula>NOT(ISERROR(SEARCH("Achieved above target",BE19)))</formula>
    </cfRule>
    <cfRule type="containsText" dxfId="128" priority="80" operator="containsText" text="Not achieved">
      <formula>NOT(ISERROR(SEARCH("Not achieved",BE19)))</formula>
    </cfRule>
    <cfRule type="containsText" dxfId="127" priority="81" operator="containsText" text="Not achieved">
      <formula>NOT(ISERROR(SEARCH("Not achieved",BE19)))</formula>
    </cfRule>
    <cfRule type="containsText" dxfId="126" priority="82" operator="containsText" text="Achieved">
      <formula>NOT(ISERROR(SEARCH("Achieved",BE19)))</formula>
    </cfRule>
  </conditionalFormatting>
  <conditionalFormatting sqref="BE20">
    <cfRule type="containsText" dxfId="125" priority="76" operator="containsText" text="Achieved ">
      <formula>NOT(ISERROR(SEARCH("Achieved ",BE20)))</formula>
    </cfRule>
    <cfRule type="containsText" dxfId="124" priority="77" operator="containsText" text="Achieved above target">
      <formula>NOT(ISERROR(SEARCH("Achieved above target",BE20)))</formula>
    </cfRule>
  </conditionalFormatting>
  <conditionalFormatting sqref="BE20">
    <cfRule type="containsText" dxfId="123" priority="71" operator="containsText" text="Part Achieved">
      <formula>NOT(ISERROR(SEARCH("Part Achieved",BE20)))</formula>
    </cfRule>
    <cfRule type="containsText" dxfId="122" priority="72" operator="containsText" text="Achieved above target">
      <formula>NOT(ISERROR(SEARCH("Achieved above target",BE20)))</formula>
    </cfRule>
    <cfRule type="containsText" dxfId="121" priority="73" operator="containsText" text="Not achieved">
      <formula>NOT(ISERROR(SEARCH("Not achieved",BE20)))</formula>
    </cfRule>
    <cfRule type="containsText" dxfId="120" priority="74" operator="containsText" text="Not achieved">
      <formula>NOT(ISERROR(SEARCH("Not achieved",BE20)))</formula>
    </cfRule>
    <cfRule type="containsText" dxfId="119" priority="75" operator="containsText" text="Achieved">
      <formula>NOT(ISERROR(SEARCH("Achieved",BE20)))</formula>
    </cfRule>
  </conditionalFormatting>
  <conditionalFormatting sqref="BE21:BF21">
    <cfRule type="containsText" dxfId="118" priority="69" operator="containsText" text="Achieved ">
      <formula>NOT(ISERROR(SEARCH("Achieved ",BE21)))</formula>
    </cfRule>
    <cfRule type="containsText" dxfId="117" priority="70" operator="containsText" text="Achieved above target">
      <formula>NOT(ISERROR(SEARCH("Achieved above target",BE21)))</formula>
    </cfRule>
  </conditionalFormatting>
  <conditionalFormatting sqref="BE21:BF21">
    <cfRule type="containsText" dxfId="116" priority="64" operator="containsText" text="Part Achieved">
      <formula>NOT(ISERROR(SEARCH("Part Achieved",BE21)))</formula>
    </cfRule>
    <cfRule type="containsText" dxfId="115" priority="65" operator="containsText" text="Achieved above target">
      <formula>NOT(ISERROR(SEARCH("Achieved above target",BE21)))</formula>
    </cfRule>
    <cfRule type="containsText" dxfId="114" priority="66" operator="containsText" text="Not achieved">
      <formula>NOT(ISERROR(SEARCH("Not achieved",BE21)))</formula>
    </cfRule>
    <cfRule type="containsText" dxfId="113" priority="67" operator="containsText" text="Not achieved">
      <formula>NOT(ISERROR(SEARCH("Not achieved",BE21)))</formula>
    </cfRule>
    <cfRule type="containsText" dxfId="112" priority="68" operator="containsText" text="Achieved">
      <formula>NOT(ISERROR(SEARCH("Achieved",BE21)))</formula>
    </cfRule>
  </conditionalFormatting>
  <conditionalFormatting sqref="BF22">
    <cfRule type="containsText" dxfId="111" priority="62" operator="containsText" text="Achieved ">
      <formula>NOT(ISERROR(SEARCH("Achieved ",BF22)))</formula>
    </cfRule>
    <cfRule type="containsText" dxfId="110" priority="63" operator="containsText" text="Achieved above target">
      <formula>NOT(ISERROR(SEARCH("Achieved above target",BF22)))</formula>
    </cfRule>
  </conditionalFormatting>
  <conditionalFormatting sqref="BF22">
    <cfRule type="containsText" dxfId="109" priority="57" operator="containsText" text="Part Achieved">
      <formula>NOT(ISERROR(SEARCH("Part Achieved",BF22)))</formula>
    </cfRule>
    <cfRule type="containsText" dxfId="108" priority="58" operator="containsText" text="Achieved above target">
      <formula>NOT(ISERROR(SEARCH("Achieved above target",BF22)))</formula>
    </cfRule>
    <cfRule type="containsText" dxfId="107" priority="59" operator="containsText" text="Not achieved">
      <formula>NOT(ISERROR(SEARCH("Not achieved",BF22)))</formula>
    </cfRule>
    <cfRule type="containsText" dxfId="106" priority="60" operator="containsText" text="Not achieved">
      <formula>NOT(ISERROR(SEARCH("Not achieved",BF22)))</formula>
    </cfRule>
    <cfRule type="containsText" dxfId="105" priority="61" operator="containsText" text="Achieved">
      <formula>NOT(ISERROR(SEARCH("Achieved",BF22)))</formula>
    </cfRule>
  </conditionalFormatting>
  <conditionalFormatting sqref="BE22">
    <cfRule type="containsText" dxfId="104" priority="55" operator="containsText" text="Achieved ">
      <formula>NOT(ISERROR(SEARCH("Achieved ",BE22)))</formula>
    </cfRule>
    <cfRule type="containsText" dxfId="103" priority="56" operator="containsText" text="Achieved above target">
      <formula>NOT(ISERROR(SEARCH("Achieved above target",BE22)))</formula>
    </cfRule>
  </conditionalFormatting>
  <conditionalFormatting sqref="BE22">
    <cfRule type="containsText" dxfId="102" priority="50" operator="containsText" text="Part Achieved">
      <formula>NOT(ISERROR(SEARCH("Part Achieved",BE22)))</formula>
    </cfRule>
    <cfRule type="containsText" dxfId="101" priority="51" operator="containsText" text="Achieved above target">
      <formula>NOT(ISERROR(SEARCH("Achieved above target",BE22)))</formula>
    </cfRule>
    <cfRule type="containsText" dxfId="100" priority="52" operator="containsText" text="Not achieved">
      <formula>NOT(ISERROR(SEARCH("Not achieved",BE22)))</formula>
    </cfRule>
    <cfRule type="containsText" dxfId="99" priority="53" operator="containsText" text="Not achieved">
      <formula>NOT(ISERROR(SEARCH("Not achieved",BE22)))</formula>
    </cfRule>
    <cfRule type="containsText" dxfId="98" priority="54" operator="containsText" text="Achieved">
      <formula>NOT(ISERROR(SEARCH("Achieved",BE22)))</formula>
    </cfRule>
  </conditionalFormatting>
  <conditionalFormatting sqref="BE22:BF22">
    <cfRule type="containsText" dxfId="97" priority="48" operator="containsText" text="Achieved ">
      <formula>NOT(ISERROR(SEARCH("Achieved ",BE22)))</formula>
    </cfRule>
    <cfRule type="containsText" dxfId="96" priority="49" operator="containsText" text="Achieved above target">
      <formula>NOT(ISERROR(SEARCH("Achieved above target",BE22)))</formula>
    </cfRule>
  </conditionalFormatting>
  <conditionalFormatting sqref="BE22:BF22">
    <cfRule type="containsText" dxfId="95" priority="43" operator="containsText" text="Part Achieved">
      <formula>NOT(ISERROR(SEARCH("Part Achieved",BE22)))</formula>
    </cfRule>
    <cfRule type="containsText" dxfId="94" priority="44" operator="containsText" text="Achieved above target">
      <formula>NOT(ISERROR(SEARCH("Achieved above target",BE22)))</formula>
    </cfRule>
    <cfRule type="containsText" dxfId="93" priority="45" operator="containsText" text="Not achieved">
      <formula>NOT(ISERROR(SEARCH("Not achieved",BE22)))</formula>
    </cfRule>
    <cfRule type="containsText" dxfId="92" priority="46" operator="containsText" text="Not achieved">
      <formula>NOT(ISERROR(SEARCH("Not achieved",BE22)))</formula>
    </cfRule>
    <cfRule type="containsText" dxfId="91" priority="47" operator="containsText" text="Achieved">
      <formula>NOT(ISERROR(SEARCH("Achieved",BE22)))</formula>
    </cfRule>
  </conditionalFormatting>
  <conditionalFormatting sqref="BE23">
    <cfRule type="containsText" dxfId="90" priority="41" operator="containsText" text="Achieved ">
      <formula>NOT(ISERROR(SEARCH("Achieved ",BE23)))</formula>
    </cfRule>
    <cfRule type="containsText" dxfId="89" priority="42" operator="containsText" text="Achieved above target">
      <formula>NOT(ISERROR(SEARCH("Achieved above target",BE23)))</formula>
    </cfRule>
  </conditionalFormatting>
  <conditionalFormatting sqref="BE23">
    <cfRule type="containsText" dxfId="88" priority="36" operator="containsText" text="Part Achieved">
      <formula>NOT(ISERROR(SEARCH("Part Achieved",BE23)))</formula>
    </cfRule>
    <cfRule type="containsText" dxfId="87" priority="37" operator="containsText" text="Achieved above target">
      <formula>NOT(ISERROR(SEARCH("Achieved above target",BE23)))</formula>
    </cfRule>
    <cfRule type="containsText" dxfId="86" priority="38" operator="containsText" text="Not achieved">
      <formula>NOT(ISERROR(SEARCH("Not achieved",BE23)))</formula>
    </cfRule>
    <cfRule type="containsText" dxfId="85" priority="39" operator="containsText" text="Not achieved">
      <formula>NOT(ISERROR(SEARCH("Not achieved",BE23)))</formula>
    </cfRule>
    <cfRule type="containsText" dxfId="84" priority="40" operator="containsText" text="Achieved">
      <formula>NOT(ISERROR(SEARCH("Achieved",BE23)))</formula>
    </cfRule>
  </conditionalFormatting>
  <conditionalFormatting sqref="BE23:BF23">
    <cfRule type="containsText" dxfId="83" priority="34" operator="containsText" text="Achieved ">
      <formula>NOT(ISERROR(SEARCH("Achieved ",BE23)))</formula>
    </cfRule>
    <cfRule type="containsText" dxfId="82" priority="35" operator="containsText" text="Achieved above target">
      <formula>NOT(ISERROR(SEARCH("Achieved above target",BE23)))</formula>
    </cfRule>
  </conditionalFormatting>
  <conditionalFormatting sqref="BE23:BF23">
    <cfRule type="containsText" dxfId="81" priority="29" operator="containsText" text="Part Achieved">
      <formula>NOT(ISERROR(SEARCH("Part Achieved",BE23)))</formula>
    </cfRule>
    <cfRule type="containsText" dxfId="80" priority="30" operator="containsText" text="Achieved above target">
      <formula>NOT(ISERROR(SEARCH("Achieved above target",BE23)))</formula>
    </cfRule>
    <cfRule type="containsText" dxfId="79" priority="31" operator="containsText" text="Not achieved">
      <formula>NOT(ISERROR(SEARCH("Not achieved",BE23)))</formula>
    </cfRule>
    <cfRule type="containsText" dxfId="78" priority="32" operator="containsText" text="Not achieved">
      <formula>NOT(ISERROR(SEARCH("Not achieved",BE23)))</formula>
    </cfRule>
    <cfRule type="containsText" dxfId="77" priority="33" operator="containsText" text="Achieved">
      <formula>NOT(ISERROR(SEARCH("Achieved",BE23)))</formula>
    </cfRule>
  </conditionalFormatting>
  <conditionalFormatting sqref="BE24">
    <cfRule type="containsText" dxfId="76" priority="27" operator="containsText" text="Achieved ">
      <formula>NOT(ISERROR(SEARCH("Achieved ",BE24)))</formula>
    </cfRule>
    <cfRule type="containsText" dxfId="75" priority="28" operator="containsText" text="Achieved above target">
      <formula>NOT(ISERROR(SEARCH("Achieved above target",BE24)))</formula>
    </cfRule>
  </conditionalFormatting>
  <conditionalFormatting sqref="BE24">
    <cfRule type="containsText" dxfId="74" priority="22" operator="containsText" text="Part Achieved">
      <formula>NOT(ISERROR(SEARCH("Part Achieved",BE24)))</formula>
    </cfRule>
    <cfRule type="containsText" dxfId="73" priority="23" operator="containsText" text="Achieved above target">
      <formula>NOT(ISERROR(SEARCH("Achieved above target",BE24)))</formula>
    </cfRule>
    <cfRule type="containsText" dxfId="72" priority="24" operator="containsText" text="Not achieved">
      <formula>NOT(ISERROR(SEARCH("Not achieved",BE24)))</formula>
    </cfRule>
    <cfRule type="containsText" dxfId="71" priority="25" operator="containsText" text="Not achieved">
      <formula>NOT(ISERROR(SEARCH("Not achieved",BE24)))</formula>
    </cfRule>
    <cfRule type="containsText" dxfId="70" priority="26" operator="containsText" text="Achieved">
      <formula>NOT(ISERROR(SEARCH("Achieved",BE24)))</formula>
    </cfRule>
  </conditionalFormatting>
  <conditionalFormatting sqref="BE24:BF24">
    <cfRule type="containsText" dxfId="69" priority="20" operator="containsText" text="Achieved ">
      <formula>NOT(ISERROR(SEARCH("Achieved ",BE24)))</formula>
    </cfRule>
    <cfRule type="containsText" dxfId="68" priority="21" operator="containsText" text="Achieved above target">
      <formula>NOT(ISERROR(SEARCH("Achieved above target",BE24)))</formula>
    </cfRule>
  </conditionalFormatting>
  <conditionalFormatting sqref="BE24:BF24">
    <cfRule type="containsText" dxfId="67" priority="15" operator="containsText" text="Part Achieved">
      <formula>NOT(ISERROR(SEARCH("Part Achieved",BE24)))</formula>
    </cfRule>
    <cfRule type="containsText" dxfId="66" priority="16" operator="containsText" text="Achieved above target">
      <formula>NOT(ISERROR(SEARCH("Achieved above target",BE24)))</formula>
    </cfRule>
    <cfRule type="containsText" dxfId="65" priority="17" operator="containsText" text="Not achieved">
      <formula>NOT(ISERROR(SEARCH("Not achieved",BE24)))</formula>
    </cfRule>
    <cfRule type="containsText" dxfId="64" priority="18" operator="containsText" text="Not achieved">
      <formula>NOT(ISERROR(SEARCH("Not achieved",BE24)))</formula>
    </cfRule>
    <cfRule type="containsText" dxfId="63" priority="19" operator="containsText" text="Achieved">
      <formula>NOT(ISERROR(SEARCH("Achieved",BE24)))</formula>
    </cfRule>
  </conditionalFormatting>
  <conditionalFormatting sqref="BE25">
    <cfRule type="containsText" dxfId="62" priority="13" operator="containsText" text="Achieved ">
      <formula>NOT(ISERROR(SEARCH("Achieved ",BE25)))</formula>
    </cfRule>
    <cfRule type="containsText" dxfId="61" priority="14" operator="containsText" text="Achieved above target">
      <formula>NOT(ISERROR(SEARCH("Achieved above target",BE25)))</formula>
    </cfRule>
  </conditionalFormatting>
  <conditionalFormatting sqref="BE25">
    <cfRule type="containsText" dxfId="60" priority="8" operator="containsText" text="Part Achieved">
      <formula>NOT(ISERROR(SEARCH("Part Achieved",BE25)))</formula>
    </cfRule>
    <cfRule type="containsText" dxfId="59" priority="9" operator="containsText" text="Achieved above target">
      <formula>NOT(ISERROR(SEARCH("Achieved above target",BE25)))</formula>
    </cfRule>
    <cfRule type="containsText" dxfId="58" priority="10" operator="containsText" text="Not achieved">
      <formula>NOT(ISERROR(SEARCH("Not achieved",BE25)))</formula>
    </cfRule>
    <cfRule type="containsText" dxfId="57" priority="11" operator="containsText" text="Not achieved">
      <formula>NOT(ISERROR(SEARCH("Not achieved",BE25)))</formula>
    </cfRule>
    <cfRule type="containsText" dxfId="56" priority="12" operator="containsText" text="Achieved">
      <formula>NOT(ISERROR(SEARCH("Achieved",BE25)))</formula>
    </cfRule>
  </conditionalFormatting>
  <conditionalFormatting sqref="BE27">
    <cfRule type="containsText" dxfId="55" priority="6" operator="containsText" text="Achieved ">
      <formula>NOT(ISERROR(SEARCH("Achieved ",BE27)))</formula>
    </cfRule>
    <cfRule type="containsText" dxfId="54" priority="7" operator="containsText" text="Achieved above target">
      <formula>NOT(ISERROR(SEARCH("Achieved above target",BE27)))</formula>
    </cfRule>
  </conditionalFormatting>
  <conditionalFormatting sqref="BE27">
    <cfRule type="containsText" dxfId="53" priority="1" operator="containsText" text="Part Achieved">
      <formula>NOT(ISERROR(SEARCH("Part Achieved",BE27)))</formula>
    </cfRule>
    <cfRule type="containsText" dxfId="52" priority="2" operator="containsText" text="Achieved above target">
      <formula>NOT(ISERROR(SEARCH("Achieved above target",BE27)))</formula>
    </cfRule>
    <cfRule type="containsText" dxfId="51" priority="3" operator="containsText" text="Not achieved">
      <formula>NOT(ISERROR(SEARCH("Not achieved",BE27)))</formula>
    </cfRule>
    <cfRule type="containsText" dxfId="50" priority="4" operator="containsText" text="Not achieved">
      <formula>NOT(ISERROR(SEARCH("Not achieved",BE27)))</formula>
    </cfRule>
    <cfRule type="containsText" dxfId="49" priority="5" operator="containsText" text="Achieved">
      <formula>NOT(ISERROR(SEARCH("Achieved",BE27)))</formula>
    </cfRule>
  </conditionalFormatting>
  <pageMargins left="0.70866141732283472" right="0.70866141732283472" top="0.74803149606299213" bottom="0.74803149606299213" header="0.31496062992125984" footer="0.31496062992125984"/>
  <pageSetup paperSize="8" scale="31" fitToHeight="3" orientation="landscape" r:id="rId1"/>
  <headerFooter>
    <oddFoote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32476-05B9-4C8A-A0D0-F47A6BDA8FD2}">
  <sheetPr>
    <tabColor theme="5" tint="-0.249977111117893"/>
    <pageSetUpPr fitToPage="1"/>
  </sheetPr>
  <dimension ref="A1:BG9"/>
  <sheetViews>
    <sheetView topLeftCell="AH4" zoomScale="82" zoomScaleNormal="82" workbookViewId="0">
      <selection activeCell="AS4" sqref="AS4:AS5"/>
    </sheetView>
  </sheetViews>
  <sheetFormatPr defaultColWidth="9.140625" defaultRowHeight="12" x14ac:dyDescent="0.2"/>
  <cols>
    <col min="1" max="1" width="15" style="21" customWidth="1"/>
    <col min="2" max="2" width="13.140625" style="21" customWidth="1"/>
    <col min="3" max="3" width="4.42578125" style="21" customWidth="1"/>
    <col min="4" max="4" width="13.42578125" style="21" customWidth="1"/>
    <col min="5" max="5" width="13.7109375" style="21" customWidth="1"/>
    <col min="6" max="6" width="13.85546875" style="21" customWidth="1"/>
    <col min="7" max="8" width="9.140625" style="21" customWidth="1"/>
    <col min="9" max="9" width="12" style="21" customWidth="1"/>
    <col min="10" max="10" width="7.7109375" style="21" hidden="1" customWidth="1"/>
    <col min="11" max="11" width="8.140625" style="21" hidden="1" customWidth="1"/>
    <col min="12" max="12" width="8.5703125" style="515" customWidth="1"/>
    <col min="13" max="13" width="16.85546875" style="515" customWidth="1"/>
    <col min="14" max="14" width="14.7109375" style="21" customWidth="1"/>
    <col min="15" max="15" width="10.85546875" style="21" customWidth="1"/>
    <col min="16" max="16" width="11.5703125" style="21" customWidth="1"/>
    <col min="17" max="17" width="10.140625" style="21" customWidth="1"/>
    <col min="18" max="18" width="12" style="655" customWidth="1"/>
    <col min="19" max="19" width="14" style="655" customWidth="1"/>
    <col min="20" max="20" width="14.140625" style="655" customWidth="1"/>
    <col min="21" max="21" width="14" style="655" customWidth="1"/>
    <col min="22" max="22" width="13.28515625" style="24" hidden="1" customWidth="1"/>
    <col min="23" max="23" width="15.85546875" style="24" customWidth="1"/>
    <col min="24" max="24" width="9.7109375" style="33" customWidth="1"/>
    <col min="25" max="25" width="12.7109375" style="21" customWidth="1"/>
    <col min="26" max="26" width="10.7109375" style="21" customWidth="1"/>
    <col min="27" max="27" width="20.7109375" style="21" customWidth="1"/>
    <col min="28" max="28" width="6.7109375" style="21" customWidth="1"/>
    <col min="29" max="29" width="10.7109375" style="21" customWidth="1"/>
    <col min="30" max="30" width="20.7109375" style="21" customWidth="1"/>
    <col min="31" max="31" width="6.7109375" style="21" customWidth="1"/>
    <col min="32" max="32" width="10.7109375" style="21" customWidth="1"/>
    <col min="33" max="33" width="20.7109375" style="21" customWidth="1"/>
    <col min="34" max="34" width="6.7109375" style="21" customWidth="1"/>
    <col min="35" max="35" width="14.42578125" style="35" customWidth="1"/>
    <col min="36" max="36" width="21.85546875" style="21" customWidth="1"/>
    <col min="37" max="37" width="6.7109375" style="136" customWidth="1"/>
    <col min="38" max="38" width="16.28515625" style="21" customWidth="1"/>
    <col min="39" max="39" width="6.7109375" style="21" customWidth="1"/>
    <col min="40" max="43" width="15.7109375" style="21" customWidth="1"/>
    <col min="44" max="44" width="17.85546875" style="21" customWidth="1"/>
    <col min="45" max="45" width="9.28515625" style="21" customWidth="1"/>
    <col min="46" max="46" width="26.42578125" style="21" customWidth="1"/>
    <col min="47" max="50" width="9.140625" style="21" hidden="1" customWidth="1"/>
    <col min="51" max="51" width="11.42578125" style="21" hidden="1" customWidth="1"/>
    <col min="52" max="52" width="39.28515625" style="21" hidden="1" customWidth="1"/>
    <col min="53" max="53" width="25.5703125" style="21" hidden="1" customWidth="1"/>
    <col min="54" max="54" width="15.7109375" style="21" hidden="1" customWidth="1"/>
    <col min="55" max="55" width="15" style="21" customWidth="1"/>
    <col min="56" max="56" width="37.28515625" style="21" hidden="1" customWidth="1"/>
    <col min="57" max="57" width="34.7109375" style="21" hidden="1" customWidth="1"/>
    <col min="58" max="58" width="32.140625" style="21" hidden="1" customWidth="1"/>
    <col min="59" max="59" width="0" style="21" hidden="1" customWidth="1"/>
    <col min="60" max="16384" width="9.140625" style="21"/>
  </cols>
  <sheetData>
    <row r="1" spans="1:59" s="23" customFormat="1" ht="22.5" customHeight="1" thickBot="1" x14ac:dyDescent="0.3">
      <c r="A1" s="985" t="s">
        <v>95</v>
      </c>
      <c r="B1" s="985"/>
      <c r="C1" s="985"/>
      <c r="D1" s="985"/>
      <c r="E1" s="985"/>
      <c r="F1" s="985"/>
      <c r="G1" s="985"/>
      <c r="H1" s="985"/>
      <c r="I1" s="985"/>
      <c r="J1" s="985"/>
      <c r="K1" s="985"/>
      <c r="L1" s="231" t="s">
        <v>133</v>
      </c>
      <c r="M1" s="42"/>
      <c r="N1" s="231"/>
      <c r="O1" s="231"/>
      <c r="P1" s="231"/>
      <c r="Q1" s="231"/>
      <c r="R1" s="42"/>
      <c r="S1" s="42"/>
      <c r="T1" s="42"/>
      <c r="U1" s="42"/>
      <c r="V1" s="231"/>
      <c r="W1" s="231"/>
      <c r="X1" s="39"/>
      <c r="Y1" s="231"/>
      <c r="Z1" s="60"/>
      <c r="AA1" s="60"/>
      <c r="AB1" s="60"/>
      <c r="AC1" s="60"/>
      <c r="AD1" s="60"/>
      <c r="AE1" s="60"/>
      <c r="AF1" s="60"/>
      <c r="AG1" s="60"/>
      <c r="AH1" s="60"/>
      <c r="AI1" s="128"/>
      <c r="AJ1" s="60"/>
      <c r="AK1" s="131"/>
      <c r="AL1" s="60"/>
      <c r="AM1" s="60"/>
      <c r="AN1" s="60"/>
      <c r="AO1" s="60"/>
      <c r="AP1" s="60"/>
      <c r="AQ1" s="60"/>
      <c r="AR1" s="60"/>
      <c r="AS1" s="60"/>
      <c r="AT1" s="652"/>
      <c r="AU1" s="652"/>
      <c r="AV1" s="652"/>
      <c r="AW1" s="652"/>
      <c r="AX1" s="652"/>
      <c r="AY1" s="652"/>
      <c r="AZ1" s="652"/>
      <c r="BA1" s="652"/>
      <c r="BB1" s="652"/>
      <c r="BC1" s="652"/>
    </row>
    <row r="2" spans="1:59" s="23" customFormat="1" ht="37.5" customHeight="1" x14ac:dyDescent="0.25">
      <c r="A2" s="768" t="s">
        <v>6</v>
      </c>
      <c r="B2" s="768" t="s">
        <v>92</v>
      </c>
      <c r="C2" s="769" t="s">
        <v>7</v>
      </c>
      <c r="D2" s="770"/>
      <c r="E2" s="768" t="s">
        <v>94</v>
      </c>
      <c r="F2" s="768" t="s">
        <v>93</v>
      </c>
      <c r="G2" s="768" t="s">
        <v>8</v>
      </c>
      <c r="H2" s="208" t="s">
        <v>183</v>
      </c>
      <c r="I2" s="768" t="s">
        <v>9</v>
      </c>
      <c r="J2" s="769" t="s">
        <v>10</v>
      </c>
      <c r="K2" s="770"/>
      <c r="L2" s="986" t="s">
        <v>96</v>
      </c>
      <c r="M2" s="987"/>
      <c r="N2" s="990" t="s">
        <v>97</v>
      </c>
      <c r="O2" s="992" t="s">
        <v>11</v>
      </c>
      <c r="P2" s="992" t="s">
        <v>12</v>
      </c>
      <c r="Q2" s="992" t="s">
        <v>275</v>
      </c>
      <c r="R2" s="984" t="s">
        <v>13</v>
      </c>
      <c r="S2" s="984" t="s">
        <v>100</v>
      </c>
      <c r="T2" s="984" t="s">
        <v>99</v>
      </c>
      <c r="U2" s="984" t="s">
        <v>101</v>
      </c>
      <c r="V2" s="994" t="s">
        <v>98</v>
      </c>
      <c r="W2" s="995"/>
      <c r="X2" s="996"/>
      <c r="Y2" s="994" t="s">
        <v>102</v>
      </c>
      <c r="Z2" s="834" t="s">
        <v>309</v>
      </c>
      <c r="AA2" s="835"/>
      <c r="AB2" s="836"/>
      <c r="AC2" s="834" t="s">
        <v>312</v>
      </c>
      <c r="AD2" s="835"/>
      <c r="AE2" s="836"/>
      <c r="AF2" s="834" t="s">
        <v>313</v>
      </c>
      <c r="AG2" s="835"/>
      <c r="AH2" s="836"/>
      <c r="AI2" s="834" t="s">
        <v>514</v>
      </c>
      <c r="AJ2" s="835"/>
      <c r="AK2" s="836"/>
      <c r="AL2" s="997" t="s">
        <v>520</v>
      </c>
      <c r="AM2" s="998"/>
      <c r="AN2" s="998"/>
      <c r="AO2" s="998"/>
      <c r="AP2" s="998"/>
      <c r="AQ2" s="998"/>
      <c r="AR2" s="998"/>
      <c r="AS2" s="998"/>
      <c r="AT2" s="999"/>
      <c r="AU2" s="993" t="s">
        <v>669</v>
      </c>
      <c r="AV2" s="993"/>
      <c r="AW2" s="993"/>
      <c r="AX2" s="993"/>
      <c r="AY2" s="993"/>
      <c r="AZ2" s="993"/>
      <c r="BA2" s="993"/>
      <c r="BB2" s="993"/>
      <c r="BC2" s="993"/>
      <c r="BD2" s="993"/>
      <c r="BE2" s="993"/>
      <c r="BF2" s="993"/>
    </row>
    <row r="3" spans="1:59" s="23" customFormat="1" ht="48.75" customHeight="1" x14ac:dyDescent="0.25">
      <c r="A3" s="768"/>
      <c r="B3" s="768"/>
      <c r="C3" s="771"/>
      <c r="D3" s="772"/>
      <c r="E3" s="768"/>
      <c r="F3" s="768"/>
      <c r="G3" s="768"/>
      <c r="H3" s="208"/>
      <c r="I3" s="768"/>
      <c r="J3" s="771"/>
      <c r="K3" s="772"/>
      <c r="L3" s="988"/>
      <c r="M3" s="989"/>
      <c r="N3" s="991"/>
      <c r="O3" s="992"/>
      <c r="P3" s="992"/>
      <c r="Q3" s="992"/>
      <c r="R3" s="984"/>
      <c r="S3" s="984"/>
      <c r="T3" s="984"/>
      <c r="U3" s="984"/>
      <c r="V3" s="43" t="s">
        <v>232</v>
      </c>
      <c r="W3" s="43" t="s">
        <v>233</v>
      </c>
      <c r="X3" s="43" t="s">
        <v>234</v>
      </c>
      <c r="Y3" s="994"/>
      <c r="Z3" s="66" t="s">
        <v>310</v>
      </c>
      <c r="AA3" s="59" t="s">
        <v>322</v>
      </c>
      <c r="AB3" s="67" t="s">
        <v>311</v>
      </c>
      <c r="AC3" s="66" t="s">
        <v>310</v>
      </c>
      <c r="AD3" s="84" t="s">
        <v>323</v>
      </c>
      <c r="AE3" s="67" t="s">
        <v>311</v>
      </c>
      <c r="AF3" s="66" t="s">
        <v>310</v>
      </c>
      <c r="AG3" s="84" t="s">
        <v>323</v>
      </c>
      <c r="AH3" s="67" t="s">
        <v>311</v>
      </c>
      <c r="AI3" s="66" t="s">
        <v>310</v>
      </c>
      <c r="AJ3" s="84" t="s">
        <v>323</v>
      </c>
      <c r="AK3" s="132" t="s">
        <v>311</v>
      </c>
      <c r="AL3" s="69" t="s">
        <v>310</v>
      </c>
      <c r="AM3" s="63" t="s">
        <v>311</v>
      </c>
      <c r="AN3" s="64" t="s">
        <v>314</v>
      </c>
      <c r="AO3" s="64" t="s">
        <v>315</v>
      </c>
      <c r="AP3" s="64" t="s">
        <v>316</v>
      </c>
      <c r="AQ3" s="64" t="s">
        <v>317</v>
      </c>
      <c r="AR3" s="64" t="s">
        <v>318</v>
      </c>
      <c r="AS3" s="64" t="s">
        <v>319</v>
      </c>
      <c r="AT3" s="73" t="s">
        <v>321</v>
      </c>
      <c r="AU3" s="200" t="s">
        <v>668</v>
      </c>
      <c r="AV3" s="200" t="s">
        <v>667</v>
      </c>
      <c r="AW3" s="200" t="s">
        <v>666</v>
      </c>
      <c r="AX3" s="200" t="s">
        <v>665</v>
      </c>
      <c r="AY3" s="199" t="s">
        <v>664</v>
      </c>
      <c r="AZ3" s="199" t="s">
        <v>663</v>
      </c>
      <c r="BA3" s="199" t="s">
        <v>662</v>
      </c>
      <c r="BB3" s="199" t="s">
        <v>661</v>
      </c>
      <c r="BC3" s="199" t="s">
        <v>660</v>
      </c>
      <c r="BD3" s="199" t="s">
        <v>659</v>
      </c>
      <c r="BE3" s="199" t="s">
        <v>658</v>
      </c>
      <c r="BF3" s="199" t="s">
        <v>657</v>
      </c>
    </row>
    <row r="4" spans="1:59" s="23" customFormat="1" ht="294" customHeight="1" x14ac:dyDescent="0.25">
      <c r="A4" s="1002" t="s">
        <v>228</v>
      </c>
      <c r="B4" s="213" t="s">
        <v>14</v>
      </c>
      <c r="C4" s="849">
        <v>10</v>
      </c>
      <c r="D4" s="837" t="s">
        <v>227</v>
      </c>
      <c r="E4" s="837" t="s">
        <v>254</v>
      </c>
      <c r="F4" s="220" t="s">
        <v>76</v>
      </c>
      <c r="G4" s="809" t="s">
        <v>16</v>
      </c>
      <c r="H4" s="222" t="s">
        <v>255</v>
      </c>
      <c r="I4" s="220" t="s">
        <v>77</v>
      </c>
      <c r="J4" s="44" t="s">
        <v>281</v>
      </c>
      <c r="K4" s="220" t="s">
        <v>256</v>
      </c>
      <c r="L4" s="236" t="s">
        <v>229</v>
      </c>
      <c r="M4" s="43" t="s">
        <v>257</v>
      </c>
      <c r="N4" s="220" t="s">
        <v>76</v>
      </c>
      <c r="O4" s="809" t="s">
        <v>29</v>
      </c>
      <c r="P4" s="809" t="s">
        <v>30</v>
      </c>
      <c r="Q4" s="1004">
        <v>44742</v>
      </c>
      <c r="R4" s="653" t="s">
        <v>23</v>
      </c>
      <c r="S4" s="653" t="s">
        <v>23</v>
      </c>
      <c r="T4" s="653" t="s">
        <v>23</v>
      </c>
      <c r="U4" s="653" t="str">
        <f>M4</f>
        <v>R6.5m million own revenue realised from CHDM infrastructure implementation support</v>
      </c>
      <c r="V4" s="982">
        <v>22500000</v>
      </c>
      <c r="W4" s="982">
        <v>73649913.140000001</v>
      </c>
      <c r="X4" s="964" t="s">
        <v>290</v>
      </c>
      <c r="Y4" s="1000" t="s">
        <v>308</v>
      </c>
      <c r="Z4" s="928" t="s">
        <v>320</v>
      </c>
      <c r="AA4" s="929"/>
      <c r="AB4" s="929"/>
      <c r="AC4" s="929"/>
      <c r="AD4" s="929"/>
      <c r="AE4" s="929"/>
      <c r="AF4" s="929"/>
      <c r="AG4" s="929"/>
      <c r="AH4" s="930"/>
      <c r="AI4" s="129" t="s">
        <v>511</v>
      </c>
      <c r="AJ4" s="61" t="s">
        <v>515</v>
      </c>
      <c r="AK4" s="133">
        <f>16207858.11/6500000</f>
        <v>2.493516632307692</v>
      </c>
      <c r="AL4" s="70" t="s">
        <v>516</v>
      </c>
      <c r="AM4" s="62">
        <f>16200000/6500000</f>
        <v>2.4923076923076923</v>
      </c>
      <c r="AN4" s="62" t="s">
        <v>23</v>
      </c>
      <c r="AO4" s="62" t="s">
        <v>23</v>
      </c>
      <c r="AP4" s="62" t="s">
        <v>23</v>
      </c>
      <c r="AQ4" s="62">
        <v>0</v>
      </c>
      <c r="AR4" s="1006">
        <v>155355610.31999999</v>
      </c>
      <c r="AS4" s="825">
        <f>AR4/W4</f>
        <v>2.1093794099211887</v>
      </c>
      <c r="AT4" s="1009" t="s">
        <v>519</v>
      </c>
      <c r="AU4" s="198" t="s">
        <v>656</v>
      </c>
      <c r="AV4" s="196" t="s">
        <v>654</v>
      </c>
      <c r="AW4" s="196" t="s">
        <v>654</v>
      </c>
      <c r="AX4" s="196" t="s">
        <v>654</v>
      </c>
      <c r="AY4" s="195" t="s">
        <v>511</v>
      </c>
      <c r="AZ4" s="194" t="s">
        <v>734</v>
      </c>
      <c r="BA4" s="193" t="s">
        <v>655</v>
      </c>
      <c r="BB4" s="193" t="s">
        <v>735</v>
      </c>
      <c r="BC4" s="195" t="s">
        <v>511</v>
      </c>
      <c r="BD4" s="194" t="s">
        <v>736</v>
      </c>
      <c r="BE4" s="193" t="s">
        <v>737</v>
      </c>
      <c r="BF4" s="193" t="s">
        <v>735</v>
      </c>
      <c r="BG4" s="428"/>
    </row>
    <row r="5" spans="1:59" s="23" customFormat="1" ht="248.25" customHeight="1" thickBot="1" x14ac:dyDescent="0.3">
      <c r="A5" s="1003"/>
      <c r="B5" s="213" t="s">
        <v>75</v>
      </c>
      <c r="C5" s="899"/>
      <c r="D5" s="837"/>
      <c r="E5" s="837"/>
      <c r="F5" s="220" t="s">
        <v>260</v>
      </c>
      <c r="G5" s="809"/>
      <c r="H5" s="223"/>
      <c r="I5" s="220" t="s">
        <v>68</v>
      </c>
      <c r="J5" s="44" t="s">
        <v>281</v>
      </c>
      <c r="K5" s="220" t="s">
        <v>259</v>
      </c>
      <c r="L5" s="236" t="s">
        <v>230</v>
      </c>
      <c r="M5" s="43" t="s">
        <v>258</v>
      </c>
      <c r="N5" s="220" t="str">
        <f>F5</f>
        <v>Rand value of capital expenditure incurred in  CHDM infrastructure project implementation</v>
      </c>
      <c r="O5" s="809"/>
      <c r="P5" s="809"/>
      <c r="Q5" s="809"/>
      <c r="R5" s="653" t="s">
        <v>23</v>
      </c>
      <c r="S5" s="653" t="s">
        <v>23</v>
      </c>
      <c r="T5" s="653" t="s">
        <v>23</v>
      </c>
      <c r="U5" s="653" t="str">
        <f>M5</f>
        <v>R69 million in infrastructure project implementation incurred on CHDM infrastructure implementation support</v>
      </c>
      <c r="V5" s="1005"/>
      <c r="W5" s="1005"/>
      <c r="X5" s="966"/>
      <c r="Y5" s="1001"/>
      <c r="Z5" s="892" t="s">
        <v>320</v>
      </c>
      <c r="AA5" s="893"/>
      <c r="AB5" s="893"/>
      <c r="AC5" s="893"/>
      <c r="AD5" s="893"/>
      <c r="AE5" s="893"/>
      <c r="AF5" s="893"/>
      <c r="AG5" s="893"/>
      <c r="AH5" s="894"/>
      <c r="AI5" s="130" t="s">
        <v>511</v>
      </c>
      <c r="AJ5" s="94" t="s">
        <v>517</v>
      </c>
      <c r="AK5" s="134">
        <f>155355610.32/73649913.14</f>
        <v>2.1093794099211887</v>
      </c>
      <c r="AL5" s="71" t="s">
        <v>518</v>
      </c>
      <c r="AM5" s="72">
        <f>88802172.11/73649913.14</f>
        <v>1.2057335619825824</v>
      </c>
      <c r="AN5" s="72" t="s">
        <v>23</v>
      </c>
      <c r="AO5" s="72" t="s">
        <v>23</v>
      </c>
      <c r="AP5" s="72" t="s">
        <v>23</v>
      </c>
      <c r="AQ5" s="72" t="s">
        <v>23</v>
      </c>
      <c r="AR5" s="1007"/>
      <c r="AS5" s="1008"/>
      <c r="AT5" s="1010"/>
      <c r="AU5" s="197" t="s">
        <v>654</v>
      </c>
      <c r="AV5" s="196" t="s">
        <v>654</v>
      </c>
      <c r="AW5" s="196" t="s">
        <v>654</v>
      </c>
      <c r="AX5" s="196" t="s">
        <v>654</v>
      </c>
      <c r="AY5" s="195" t="s">
        <v>511</v>
      </c>
      <c r="AZ5" s="194" t="s">
        <v>653</v>
      </c>
      <c r="BA5" s="193" t="s">
        <v>738</v>
      </c>
      <c r="BB5" s="193" t="s">
        <v>738</v>
      </c>
      <c r="BC5" s="195" t="s">
        <v>511</v>
      </c>
      <c r="BD5" s="194" t="s">
        <v>653</v>
      </c>
      <c r="BE5" s="193" t="s">
        <v>738</v>
      </c>
      <c r="BF5" s="193" t="s">
        <v>738</v>
      </c>
    </row>
    <row r="6" spans="1:59" s="35" customFormat="1" x14ac:dyDescent="0.2">
      <c r="F6" s="192">
        <f t="shared" ref="F6" si="0">COUNTA(F4:F5)</f>
        <v>2</v>
      </c>
      <c r="G6" s="192"/>
      <c r="H6" s="192"/>
      <c r="I6" s="192"/>
      <c r="J6" s="192"/>
      <c r="K6" s="192"/>
      <c r="L6" s="192">
        <f>COUNTA(L4:L5)</f>
        <v>2</v>
      </c>
      <c r="M6" s="515"/>
      <c r="R6" s="654"/>
      <c r="S6" s="654"/>
      <c r="T6" s="654"/>
      <c r="U6" s="654"/>
      <c r="V6" s="40">
        <f>SUM(V4)</f>
        <v>22500000</v>
      </c>
      <c r="W6" s="40">
        <f>SUM(W4)</f>
        <v>73649913.140000001</v>
      </c>
      <c r="X6" s="40"/>
      <c r="AK6" s="135"/>
    </row>
    <row r="7" spans="1:59" ht="3.75" customHeight="1" x14ac:dyDescent="0.2"/>
    <row r="8" spans="1:59" hidden="1" x14ac:dyDescent="0.2">
      <c r="V8" s="24" t="s">
        <v>291</v>
      </c>
    </row>
    <row r="9" spans="1:59" x14ac:dyDescent="0.2">
      <c r="V9" s="24" t="s">
        <v>292</v>
      </c>
    </row>
  </sheetData>
  <mergeCells count="44">
    <mergeCell ref="Z4:AH4"/>
    <mergeCell ref="AR4:AR5"/>
    <mergeCell ref="AS4:AS5"/>
    <mergeCell ref="AT4:AT5"/>
    <mergeCell ref="Z5:AH5"/>
    <mergeCell ref="Y4:Y5"/>
    <mergeCell ref="A4:A5"/>
    <mergeCell ref="C4:C5"/>
    <mergeCell ref="D4:D5"/>
    <mergeCell ref="E4:E5"/>
    <mergeCell ref="G4:G5"/>
    <mergeCell ref="O4:O5"/>
    <mergeCell ref="P4:P5"/>
    <mergeCell ref="Q4:Q5"/>
    <mergeCell ref="V4:V5"/>
    <mergeCell ref="W4:W5"/>
    <mergeCell ref="X4:X5"/>
    <mergeCell ref="BC2:BF2"/>
    <mergeCell ref="S2:S3"/>
    <mergeCell ref="T2:T3"/>
    <mergeCell ref="U2:U3"/>
    <mergeCell ref="V2:X2"/>
    <mergeCell ref="Y2:Y3"/>
    <mergeCell ref="Z2:AB2"/>
    <mergeCell ref="AC2:AE2"/>
    <mergeCell ref="AF2:AH2"/>
    <mergeCell ref="AI2:AK2"/>
    <mergeCell ref="AL2:AT2"/>
    <mergeCell ref="AU2:BB2"/>
    <mergeCell ref="R2:R3"/>
    <mergeCell ref="A1:K1"/>
    <mergeCell ref="A2:A3"/>
    <mergeCell ref="B2:B3"/>
    <mergeCell ref="C2:D3"/>
    <mergeCell ref="E2:E3"/>
    <mergeCell ref="F2:F3"/>
    <mergeCell ref="G2:G3"/>
    <mergeCell ref="I2:I3"/>
    <mergeCell ref="J2:K3"/>
    <mergeCell ref="L2:M3"/>
    <mergeCell ref="N2:N3"/>
    <mergeCell ref="O2:O3"/>
    <mergeCell ref="P2:P3"/>
    <mergeCell ref="Q2:Q3"/>
  </mergeCells>
  <conditionalFormatting sqref="AZ4:AZ5">
    <cfRule type="containsText" dxfId="48" priority="48" operator="containsText" text="Achieved ">
      <formula>NOT(ISERROR(SEARCH("Achieved ",AZ4)))</formula>
    </cfRule>
    <cfRule type="containsText" dxfId="47" priority="49" operator="containsText" text="Achieved above target">
      <formula>NOT(ISERROR(SEARCH("Achieved above target",AZ4)))</formula>
    </cfRule>
  </conditionalFormatting>
  <conditionalFormatting sqref="AZ4:AZ5">
    <cfRule type="containsText" dxfId="46" priority="43" operator="containsText" text="Part Achieved">
      <formula>NOT(ISERROR(SEARCH("Part Achieved",AZ4)))</formula>
    </cfRule>
    <cfRule type="containsText" dxfId="45" priority="44" operator="containsText" text="Achieved above target">
      <formula>NOT(ISERROR(SEARCH("Achieved above target",AZ4)))</formula>
    </cfRule>
    <cfRule type="containsText" dxfId="44" priority="45" operator="containsText" text="Not achieved">
      <formula>NOT(ISERROR(SEARCH("Not achieved",AZ4)))</formula>
    </cfRule>
    <cfRule type="containsText" dxfId="43" priority="46" operator="containsText" text="Not achieved">
      <formula>NOT(ISERROR(SEARCH("Not achieved",AZ4)))</formula>
    </cfRule>
    <cfRule type="containsText" dxfId="42" priority="47" operator="containsText" text="Achieved">
      <formula>NOT(ISERROR(SEARCH("Achieved",AZ4)))</formula>
    </cfRule>
  </conditionalFormatting>
  <conditionalFormatting sqref="BE5:BF5">
    <cfRule type="containsText" dxfId="41" priority="41" operator="containsText" text="Achieved ">
      <formula>NOT(ISERROR(SEARCH("Achieved ",BE5)))</formula>
    </cfRule>
    <cfRule type="containsText" dxfId="40" priority="42" operator="containsText" text="Achieved above target">
      <formula>NOT(ISERROR(SEARCH("Achieved above target",BE5)))</formula>
    </cfRule>
  </conditionalFormatting>
  <conditionalFormatting sqref="BE5:BF5">
    <cfRule type="containsText" dxfId="39" priority="36" operator="containsText" text="Part Achieved">
      <formula>NOT(ISERROR(SEARCH("Part Achieved",BE5)))</formula>
    </cfRule>
    <cfRule type="containsText" dxfId="38" priority="37" operator="containsText" text="Achieved above target">
      <formula>NOT(ISERROR(SEARCH("Achieved above target",BE5)))</formula>
    </cfRule>
    <cfRule type="containsText" dxfId="37" priority="38" operator="containsText" text="Not achieved">
      <formula>NOT(ISERROR(SEARCH("Not achieved",BE5)))</formula>
    </cfRule>
    <cfRule type="containsText" dxfId="36" priority="39" operator="containsText" text="Not achieved">
      <formula>NOT(ISERROR(SEARCH("Not achieved",BE5)))</formula>
    </cfRule>
    <cfRule type="containsText" dxfId="35" priority="40" operator="containsText" text="Achieved">
      <formula>NOT(ISERROR(SEARCH("Achieved",BE5)))</formula>
    </cfRule>
  </conditionalFormatting>
  <conditionalFormatting sqref="BD5">
    <cfRule type="containsText" dxfId="34" priority="34" operator="containsText" text="Achieved ">
      <formula>NOT(ISERROR(SEARCH("Achieved ",BD5)))</formula>
    </cfRule>
    <cfRule type="containsText" dxfId="33" priority="35" operator="containsText" text="Achieved above target">
      <formula>NOT(ISERROR(SEARCH("Achieved above target",BD5)))</formula>
    </cfRule>
  </conditionalFormatting>
  <conditionalFormatting sqref="BD5">
    <cfRule type="containsText" dxfId="32" priority="29" operator="containsText" text="Part Achieved">
      <formula>NOT(ISERROR(SEARCH("Part Achieved",BD5)))</formula>
    </cfRule>
    <cfRule type="containsText" dxfId="31" priority="30" operator="containsText" text="Achieved above target">
      <formula>NOT(ISERROR(SEARCH("Achieved above target",BD5)))</formula>
    </cfRule>
    <cfRule type="containsText" dxfId="30" priority="31" operator="containsText" text="Not achieved">
      <formula>NOT(ISERROR(SEARCH("Not achieved",BD5)))</formula>
    </cfRule>
    <cfRule type="containsText" dxfId="29" priority="32" operator="containsText" text="Not achieved">
      <formula>NOT(ISERROR(SEARCH("Not achieved",BD5)))</formula>
    </cfRule>
    <cfRule type="containsText" dxfId="28" priority="33" operator="containsText" text="Achieved">
      <formula>NOT(ISERROR(SEARCH("Achieved",BD5)))</formula>
    </cfRule>
  </conditionalFormatting>
  <conditionalFormatting sqref="BD4">
    <cfRule type="containsText" dxfId="27" priority="27" operator="containsText" text="Achieved ">
      <formula>NOT(ISERROR(SEARCH("Achieved ",BD4)))</formula>
    </cfRule>
    <cfRule type="containsText" dxfId="26" priority="28" operator="containsText" text="Achieved above target">
      <formula>NOT(ISERROR(SEARCH("Achieved above target",BD4)))</formula>
    </cfRule>
  </conditionalFormatting>
  <conditionalFormatting sqref="BD4">
    <cfRule type="containsText" dxfId="25" priority="22" operator="containsText" text="Part Achieved">
      <formula>NOT(ISERROR(SEARCH("Part Achieved",BD4)))</formula>
    </cfRule>
    <cfRule type="containsText" dxfId="24" priority="23" operator="containsText" text="Achieved above target">
      <formula>NOT(ISERROR(SEARCH("Achieved above target",BD4)))</formula>
    </cfRule>
    <cfRule type="containsText" dxfId="23" priority="24" operator="containsText" text="Not achieved">
      <formula>NOT(ISERROR(SEARCH("Not achieved",BD4)))</formula>
    </cfRule>
    <cfRule type="containsText" dxfId="22" priority="25" operator="containsText" text="Not achieved">
      <formula>NOT(ISERROR(SEARCH("Not achieved",BD4)))</formula>
    </cfRule>
    <cfRule type="containsText" dxfId="21" priority="26" operator="containsText" text="Achieved">
      <formula>NOT(ISERROR(SEARCH("Achieved",BD4)))</formula>
    </cfRule>
  </conditionalFormatting>
  <conditionalFormatting sqref="BA4">
    <cfRule type="containsText" dxfId="20" priority="20" operator="containsText" text="Achieved ">
      <formula>NOT(ISERROR(SEARCH("Achieved ",BA4)))</formula>
    </cfRule>
    <cfRule type="containsText" dxfId="19" priority="21" operator="containsText" text="Achieved above target">
      <formula>NOT(ISERROR(SEARCH("Achieved above target",BA4)))</formula>
    </cfRule>
  </conditionalFormatting>
  <conditionalFormatting sqref="BA4">
    <cfRule type="containsText" dxfId="18" priority="15" operator="containsText" text="Part Achieved">
      <formula>NOT(ISERROR(SEARCH("Part Achieved",BA4)))</formula>
    </cfRule>
    <cfRule type="containsText" dxfId="17" priority="16" operator="containsText" text="Achieved above target">
      <formula>NOT(ISERROR(SEARCH("Achieved above target",BA4)))</formula>
    </cfRule>
    <cfRule type="containsText" dxfId="16" priority="17" operator="containsText" text="Not achieved">
      <formula>NOT(ISERROR(SEARCH("Not achieved",BA4)))</formula>
    </cfRule>
    <cfRule type="containsText" dxfId="15" priority="18" operator="containsText" text="Not achieved">
      <formula>NOT(ISERROR(SEARCH("Not achieved",BA4)))</formula>
    </cfRule>
    <cfRule type="containsText" dxfId="14" priority="19" operator="containsText" text="Achieved">
      <formula>NOT(ISERROR(SEARCH("Achieved",BA4)))</formula>
    </cfRule>
  </conditionalFormatting>
  <conditionalFormatting sqref="BE4">
    <cfRule type="containsText" dxfId="13" priority="13" operator="containsText" text="Achieved ">
      <formula>NOT(ISERROR(SEARCH("Achieved ",BE4)))</formula>
    </cfRule>
    <cfRule type="containsText" dxfId="12" priority="14" operator="containsText" text="Achieved above target">
      <formula>NOT(ISERROR(SEARCH("Achieved above target",BE4)))</formula>
    </cfRule>
  </conditionalFormatting>
  <conditionalFormatting sqref="BE4">
    <cfRule type="containsText" dxfId="11" priority="8" operator="containsText" text="Part Achieved">
      <formula>NOT(ISERROR(SEARCH("Part Achieved",BE4)))</formula>
    </cfRule>
    <cfRule type="containsText" dxfId="10" priority="9" operator="containsText" text="Achieved above target">
      <formula>NOT(ISERROR(SEARCH("Achieved above target",BE4)))</formula>
    </cfRule>
    <cfRule type="containsText" dxfId="9" priority="10" operator="containsText" text="Not achieved">
      <formula>NOT(ISERROR(SEARCH("Not achieved",BE4)))</formula>
    </cfRule>
    <cfRule type="containsText" dxfId="8" priority="11" operator="containsText" text="Not achieved">
      <formula>NOT(ISERROR(SEARCH("Not achieved",BE4)))</formula>
    </cfRule>
    <cfRule type="containsText" dxfId="7" priority="12" operator="containsText" text="Achieved">
      <formula>NOT(ISERROR(SEARCH("Achieved",BE4)))</formula>
    </cfRule>
  </conditionalFormatting>
  <conditionalFormatting sqref="BA5:BB5">
    <cfRule type="containsText" dxfId="6" priority="6" operator="containsText" text="Achieved ">
      <formula>NOT(ISERROR(SEARCH("Achieved ",BA5)))</formula>
    </cfRule>
    <cfRule type="containsText" dxfId="5" priority="7" operator="containsText" text="Achieved above target">
      <formula>NOT(ISERROR(SEARCH("Achieved above target",BA5)))</formula>
    </cfRule>
  </conditionalFormatting>
  <conditionalFormatting sqref="BA5:BB5">
    <cfRule type="containsText" dxfId="4" priority="1" operator="containsText" text="Part Achieved">
      <formula>NOT(ISERROR(SEARCH("Part Achieved",BA5)))</formula>
    </cfRule>
    <cfRule type="containsText" dxfId="3" priority="2" operator="containsText" text="Achieved above target">
      <formula>NOT(ISERROR(SEARCH("Achieved above target",BA5)))</formula>
    </cfRule>
    <cfRule type="containsText" dxfId="2" priority="3" operator="containsText" text="Not achieved">
      <formula>NOT(ISERROR(SEARCH("Not achieved",BA5)))</formula>
    </cfRule>
    <cfRule type="containsText" dxfId="1" priority="4" operator="containsText" text="Not achieved">
      <formula>NOT(ISERROR(SEARCH("Not achieved",BA5)))</formula>
    </cfRule>
    <cfRule type="containsText" dxfId="0" priority="5" operator="containsText" text="Achieved">
      <formula>NOT(ISERROR(SEARCH("Achieved",BA5)))</formula>
    </cfRule>
  </conditionalFormatting>
  <pageMargins left="0.70866141732283472" right="0.70866141732283472" top="0.74803149606299213" bottom="0.74803149606299213" header="0.31496062992125984" footer="0.31496062992125984"/>
  <pageSetup paperSize="8" scale="33" orientation="landscape" r:id="rId1"/>
  <headerFooter>
    <oddFooter>&amp;F</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EC127-F839-4D91-8E64-61D45D5A8FF2}">
  <sheetPr>
    <tabColor theme="1"/>
    <pageSetUpPr fitToPage="1"/>
  </sheetPr>
  <dimension ref="A1:Q27"/>
  <sheetViews>
    <sheetView topLeftCell="A4" zoomScale="73" zoomScaleNormal="73" workbookViewId="0">
      <selection activeCell="J23" sqref="J23"/>
    </sheetView>
  </sheetViews>
  <sheetFormatPr defaultRowHeight="15" x14ac:dyDescent="0.25"/>
  <cols>
    <col min="1" max="1" width="7.7109375" customWidth="1"/>
    <col min="2" max="2" width="40.42578125" customWidth="1"/>
    <col min="3" max="3" width="16.28515625" style="238" customWidth="1"/>
    <col min="4" max="4" width="16.7109375" style="238" customWidth="1"/>
    <col min="5" max="5" width="17.28515625" style="238" customWidth="1"/>
    <col min="6" max="6" width="18.140625" style="238" customWidth="1"/>
    <col min="7" max="7" width="16.85546875" customWidth="1"/>
    <col min="8" max="8" width="16" customWidth="1"/>
    <col min="10" max="10" width="30" bestFit="1" customWidth="1"/>
    <col min="13" max="13" width="17.7109375" customWidth="1"/>
    <col min="14" max="14" width="62.5703125" customWidth="1"/>
    <col min="15" max="17" width="15.42578125" customWidth="1"/>
    <col min="18" max="21" width="9.140625" customWidth="1"/>
  </cols>
  <sheetData>
    <row r="1" spans="1:17" ht="26.25" x14ac:dyDescent="0.4">
      <c r="B1" s="237" t="s">
        <v>689</v>
      </c>
    </row>
    <row r="2" spans="1:17" ht="17.25" customHeight="1" x14ac:dyDescent="0.4">
      <c r="B2" s="237"/>
    </row>
    <row r="3" spans="1:17" ht="24" customHeight="1" x14ac:dyDescent="0.25">
      <c r="B3" s="1011" t="s">
        <v>692</v>
      </c>
      <c r="C3" s="1012"/>
      <c r="D3" s="1012"/>
      <c r="E3" s="1012"/>
      <c r="F3" s="1012"/>
      <c r="G3" s="1012"/>
      <c r="H3" s="1013"/>
    </row>
    <row r="4" spans="1:17" s="239" customFormat="1" ht="65.25" customHeight="1" x14ac:dyDescent="0.25">
      <c r="B4" s="1014" t="s">
        <v>673</v>
      </c>
      <c r="C4" s="240" t="s">
        <v>674</v>
      </c>
      <c r="D4" s="241" t="s">
        <v>457</v>
      </c>
      <c r="E4" s="242" t="s">
        <v>471</v>
      </c>
      <c r="F4" s="243" t="s">
        <v>330</v>
      </c>
      <c r="G4" s="1016" t="s">
        <v>511</v>
      </c>
      <c r="H4" s="1018" t="s">
        <v>670</v>
      </c>
    </row>
    <row r="5" spans="1:17" s="239" customFormat="1" ht="29.25" customHeight="1" x14ac:dyDescent="0.25">
      <c r="B5" s="1015"/>
      <c r="C5" s="244" t="s">
        <v>693</v>
      </c>
      <c r="D5" s="245" t="s">
        <v>676</v>
      </c>
      <c r="E5" s="246" t="s">
        <v>677</v>
      </c>
      <c r="F5" s="247" t="s">
        <v>678</v>
      </c>
      <c r="G5" s="1017"/>
      <c r="H5" s="1019"/>
    </row>
    <row r="6" spans="1:17" s="256" customFormat="1" ht="49.5" customHeight="1" x14ac:dyDescent="0.25">
      <c r="A6" s="248" t="s">
        <v>679</v>
      </c>
      <c r="B6" s="249" t="str">
        <f>[3]PROG1_ProfViableOrg!A5</f>
        <v>TO DEVELOP A PROFICIENT, VIABLE AND SELF-SUSTIANBALE ENTITY BY 2025</v>
      </c>
      <c r="C6" s="250">
        <f>StratSummary!D12</f>
        <v>26</v>
      </c>
      <c r="D6" s="251">
        <f>8+1</f>
        <v>9</v>
      </c>
      <c r="E6" s="252">
        <f>6-1</f>
        <v>5</v>
      </c>
      <c r="F6" s="253">
        <v>12</v>
      </c>
      <c r="G6" s="254">
        <v>1</v>
      </c>
      <c r="H6" s="255">
        <f>G6/C6</f>
        <v>3.8461538461538464E-2</v>
      </c>
    </row>
    <row r="7" spans="1:17" s="256" customFormat="1" ht="51.75" customHeight="1" x14ac:dyDescent="0.25">
      <c r="A7" s="257" t="s">
        <v>680</v>
      </c>
      <c r="B7" s="258" t="str">
        <f>[3]PROG2_FundInvPromo!A5</f>
        <v>TO MOBILISE FUNDING AND FACILITATE INVESTMENT PROMOTION INTO THE DISTRICT BY 2025</v>
      </c>
      <c r="C7" s="259">
        <f>StratSummary!E12</f>
        <v>4</v>
      </c>
      <c r="D7" s="260">
        <v>3</v>
      </c>
      <c r="E7" s="261">
        <v>0</v>
      </c>
      <c r="F7" s="262">
        <v>1</v>
      </c>
      <c r="G7" s="263">
        <v>1</v>
      </c>
      <c r="H7" s="255">
        <f>G7/C7</f>
        <v>0.25</v>
      </c>
    </row>
    <row r="8" spans="1:17" s="256" customFormat="1" ht="48" customHeight="1" x14ac:dyDescent="0.25">
      <c r="A8" s="257" t="s">
        <v>681</v>
      </c>
      <c r="B8" s="258" t="str">
        <f>[3]PROG3_ViableRurCorr!A5</f>
        <v>TO DEVELOP ECONOMICALLY VIABLE AND SUSTAINABLE RURAL CORRIDORS BY 2025</v>
      </c>
      <c r="C8" s="259">
        <f>StratSummary!F12</f>
        <v>22</v>
      </c>
      <c r="D8" s="260">
        <f>17-2+1-1</f>
        <v>15</v>
      </c>
      <c r="E8" s="261">
        <v>0</v>
      </c>
      <c r="F8" s="262">
        <f>7+1</f>
        <v>8</v>
      </c>
      <c r="G8" s="263">
        <f>5-1</f>
        <v>4</v>
      </c>
      <c r="H8" s="255">
        <f>G8/C8</f>
        <v>0.18181818181818182</v>
      </c>
    </row>
    <row r="9" spans="1:17" s="256" customFormat="1" ht="51.75" customHeight="1" x14ac:dyDescent="0.25">
      <c r="A9" s="264" t="s">
        <v>682</v>
      </c>
      <c r="B9" s="265" t="s">
        <v>683</v>
      </c>
      <c r="C9" s="259">
        <f>StratSummary!G12</f>
        <v>2</v>
      </c>
      <c r="D9" s="260">
        <v>2</v>
      </c>
      <c r="E9" s="261">
        <v>0</v>
      </c>
      <c r="F9" s="262">
        <v>0</v>
      </c>
      <c r="G9" s="263">
        <v>2</v>
      </c>
      <c r="H9" s="255">
        <f>G9/C9</f>
        <v>1</v>
      </c>
    </row>
    <row r="10" spans="1:17" s="266" customFormat="1" ht="26.25" customHeight="1" thickBot="1" x14ac:dyDescent="0.3">
      <c r="B10" s="267" t="s">
        <v>684</v>
      </c>
      <c r="C10" s="268">
        <f>SUM(C6:C9)</f>
        <v>54</v>
      </c>
      <c r="D10" s="269">
        <f t="shared" ref="D10:F10" si="0">SUM(D6:D9)</f>
        <v>29</v>
      </c>
      <c r="E10" s="270">
        <f t="shared" si="0"/>
        <v>5</v>
      </c>
      <c r="F10" s="271">
        <f t="shared" si="0"/>
        <v>21</v>
      </c>
      <c r="G10" s="1020">
        <f>(G9+G7+G8+G6)/C10</f>
        <v>0.14814814814814814</v>
      </c>
      <c r="H10" s="1023">
        <f>G10/C10</f>
        <v>2.7434842249657062E-3</v>
      </c>
    </row>
    <row r="11" spans="1:17" s="256" customFormat="1" ht="21" hidden="1" customHeight="1" thickBot="1" x14ac:dyDescent="0.3">
      <c r="B11" s="272"/>
      <c r="C11" s="273"/>
      <c r="D11" s="274"/>
      <c r="E11" s="275"/>
      <c r="F11" s="276"/>
      <c r="G11" s="1021"/>
      <c r="H11" s="1024"/>
    </row>
    <row r="12" spans="1:17" s="256" customFormat="1" ht="21.75" thickTop="1" thickBot="1" x14ac:dyDescent="0.3">
      <c r="B12" s="272"/>
      <c r="C12" s="277"/>
      <c r="D12" s="630">
        <f>D10/C10</f>
        <v>0.53703703703703709</v>
      </c>
      <c r="E12" s="631">
        <f>E10/C10</f>
        <v>9.2592592592592587E-2</v>
      </c>
      <c r="F12" s="632">
        <f>F10/C10</f>
        <v>0.3888888888888889</v>
      </c>
      <c r="G12" s="1022"/>
      <c r="H12" s="1025"/>
      <c r="J12" s="281"/>
    </row>
    <row r="13" spans="1:17" x14ac:dyDescent="0.25">
      <c r="C13" s="282"/>
      <c r="D13" s="1026">
        <f>D12+E12</f>
        <v>0.62962962962962965</v>
      </c>
      <c r="E13" s="1027"/>
    </row>
    <row r="14" spans="1:17" x14ac:dyDescent="0.25">
      <c r="C14" s="282"/>
    </row>
    <row r="15" spans="1:17" ht="15.75" thickBot="1" x14ac:dyDescent="0.3">
      <c r="C15" s="282"/>
    </row>
    <row r="16" spans="1:17" ht="32.25" customHeight="1" thickBot="1" x14ac:dyDescent="0.3">
      <c r="E16" s="239"/>
      <c r="F16" s="1028" t="s">
        <v>691</v>
      </c>
      <c r="G16" s="1029"/>
      <c r="H16" s="1030"/>
      <c r="N16" s="283" t="s">
        <v>673</v>
      </c>
      <c r="O16" s="284" t="s">
        <v>457</v>
      </c>
      <c r="P16" s="285" t="s">
        <v>471</v>
      </c>
      <c r="Q16" s="286" t="s">
        <v>330</v>
      </c>
    </row>
    <row r="17" spans="6:17" ht="30" x14ac:dyDescent="0.25">
      <c r="F17" s="318" t="str">
        <f>D4</f>
        <v>Achieved</v>
      </c>
      <c r="G17" s="1031">
        <f>D12</f>
        <v>0.53703703703703709</v>
      </c>
      <c r="H17" s="1032"/>
      <c r="N17" s="288" t="str">
        <f>B6</f>
        <v>TO DEVELOP A PROFICIENT, VIABLE AND SELF-SUSTIANBALE ENTITY BY 2025</v>
      </c>
      <c r="O17" s="289">
        <f>D6/C6</f>
        <v>0.34615384615384615</v>
      </c>
      <c r="P17" s="290">
        <f>E6/C6</f>
        <v>0.19230769230769232</v>
      </c>
      <c r="Q17" s="291">
        <f>F6/C6</f>
        <v>0.46153846153846156</v>
      </c>
    </row>
    <row r="18" spans="6:17" ht="30" x14ac:dyDescent="0.25">
      <c r="F18" s="319" t="s">
        <v>471</v>
      </c>
      <c r="G18" s="1033">
        <f>E12</f>
        <v>9.2592592592592587E-2</v>
      </c>
      <c r="H18" s="1034"/>
      <c r="N18" s="292" t="str">
        <f>B7</f>
        <v>TO MOBILISE FUNDING AND FACILITATE INVESTMENT PROMOTION INTO THE DISTRICT BY 2025</v>
      </c>
      <c r="O18" s="289">
        <f>D7/C7</f>
        <v>0.75</v>
      </c>
      <c r="P18" s="290">
        <f t="shared" ref="P18:P20" si="1">E7/C7</f>
        <v>0</v>
      </c>
      <c r="Q18" s="291">
        <f t="shared" ref="Q18:Q20" si="2">F7/C7</f>
        <v>0.25</v>
      </c>
    </row>
    <row r="19" spans="6:17" ht="30.75" thickBot="1" x14ac:dyDescent="0.3">
      <c r="F19" s="320" t="s">
        <v>330</v>
      </c>
      <c r="G19" s="1035">
        <f>F12</f>
        <v>0.3888888888888889</v>
      </c>
      <c r="H19" s="1036"/>
      <c r="N19" s="292" t="str">
        <f>B8</f>
        <v>TO DEVELOP ECONOMICALLY VIABLE AND SUSTAINABLE RURAL CORRIDORS BY 2025</v>
      </c>
      <c r="O19" s="289">
        <f>D8/C8</f>
        <v>0.68181818181818177</v>
      </c>
      <c r="P19" s="290">
        <f t="shared" si="1"/>
        <v>0</v>
      </c>
      <c r="Q19" s="291">
        <f t="shared" si="2"/>
        <v>0.36363636363636365</v>
      </c>
    </row>
    <row r="20" spans="6:17" ht="30" x14ac:dyDescent="0.25">
      <c r="F20" s="239"/>
      <c r="G20" s="294"/>
      <c r="H20" s="295"/>
      <c r="N20" s="292" t="str">
        <f>B9</f>
        <v>TO SUPORT IMPLEMENTATION OF INFRASTRUCTURE PROJECTS IN THE DISTRICT BY 2025</v>
      </c>
      <c r="O20" s="289">
        <f t="shared" ref="O20" si="3">D9/C9</f>
        <v>1</v>
      </c>
      <c r="P20" s="290">
        <f t="shared" si="1"/>
        <v>0</v>
      </c>
      <c r="Q20" s="291">
        <f t="shared" si="2"/>
        <v>0</v>
      </c>
    </row>
    <row r="21" spans="6:17" ht="28.5" customHeight="1" thickBot="1" x14ac:dyDescent="0.3">
      <c r="F21"/>
    </row>
    <row r="22" spans="6:17" ht="24.75" customHeight="1" x14ac:dyDescent="0.25">
      <c r="F22" s="315" t="s">
        <v>690</v>
      </c>
      <c r="G22" s="316"/>
      <c r="H22" s="317"/>
    </row>
    <row r="23" spans="6:17" ht="43.5" customHeight="1" x14ac:dyDescent="0.25">
      <c r="F23" s="312" t="s">
        <v>687</v>
      </c>
      <c r="G23" s="313">
        <f>StratSummary!D12</f>
        <v>26</v>
      </c>
      <c r="H23" s="314">
        <f>G23/(G23+G24)</f>
        <v>0.48148148148148145</v>
      </c>
    </row>
    <row r="24" spans="6:17" ht="45" customHeight="1" thickBot="1" x14ac:dyDescent="0.3">
      <c r="F24" s="309" t="s">
        <v>694</v>
      </c>
      <c r="G24" s="310">
        <f>StratSummary!E12+StratSummary!F12+StratSummary!G12</f>
        <v>28</v>
      </c>
      <c r="H24" s="311">
        <f>G24/(G23+G24)</f>
        <v>0.51851851851851849</v>
      </c>
    </row>
    <row r="25" spans="6:17" x14ac:dyDescent="0.25">
      <c r="F25" s="239"/>
      <c r="G25" s="306">
        <f>SUM(G23:G24)</f>
        <v>54</v>
      </c>
      <c r="H25" s="307">
        <f>SUM(H23:H24)</f>
        <v>1</v>
      </c>
      <c r="N25" s="1"/>
      <c r="O25" s="1"/>
      <c r="P25" s="1"/>
      <c r="Q25" s="1"/>
    </row>
    <row r="26" spans="6:17" x14ac:dyDescent="0.25">
      <c r="F26" s="239"/>
      <c r="G26" s="308"/>
      <c r="H26" s="308"/>
    </row>
    <row r="27" spans="6:17" x14ac:dyDescent="0.25">
      <c r="F27" s="239"/>
      <c r="H27" s="305"/>
    </row>
  </sheetData>
  <mergeCells count="11">
    <mergeCell ref="D13:E13"/>
    <mergeCell ref="F16:H16"/>
    <mergeCell ref="G17:H17"/>
    <mergeCell ref="G18:H18"/>
    <mergeCell ref="G19:H19"/>
    <mergeCell ref="B3:H3"/>
    <mergeCell ref="B4:B5"/>
    <mergeCell ref="G4:G5"/>
    <mergeCell ref="H4:H5"/>
    <mergeCell ref="G10:G12"/>
    <mergeCell ref="H10:H12"/>
  </mergeCells>
  <pageMargins left="0.70866141732283472" right="0.70866141732283472" top="0.74803149606299213" bottom="0.74803149606299213" header="0.31496062992125984" footer="0.31496062992125984"/>
  <pageSetup paperSize="8" scale="57" orientation="landscape" r:id="rId1"/>
  <headerFooter>
    <oddHeader>Page &amp;P of &amp;N</oddHeader>
    <oddFooter>&amp;Z&amp;F</oddFooter>
  </headerFooter>
  <colBreaks count="1" manualBreakCount="1">
    <brk id="8"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D9E03-1C0E-4712-A82D-86BE2ED4D735}">
  <sheetPr>
    <pageSetUpPr fitToPage="1"/>
  </sheetPr>
  <dimension ref="A1:Q27"/>
  <sheetViews>
    <sheetView topLeftCell="A13" zoomScale="75" zoomScaleNormal="75" workbookViewId="0">
      <selection activeCell="G8" sqref="G8"/>
    </sheetView>
  </sheetViews>
  <sheetFormatPr defaultRowHeight="15" x14ac:dyDescent="0.25"/>
  <cols>
    <col min="1" max="1" width="7.7109375" customWidth="1"/>
    <col min="2" max="2" width="40.42578125" customWidth="1"/>
    <col min="3" max="3" width="16.28515625" style="238" customWidth="1"/>
    <col min="4" max="4" width="16.7109375" style="238" customWidth="1"/>
    <col min="5" max="5" width="17.28515625" style="238" customWidth="1"/>
    <col min="6" max="6" width="18.140625" style="238" customWidth="1"/>
    <col min="7" max="7" width="16.85546875" customWidth="1"/>
    <col min="8" max="8" width="16" customWidth="1"/>
    <col min="10" max="10" width="30" bestFit="1" customWidth="1"/>
    <col min="13" max="13" width="17.7109375" customWidth="1"/>
    <col min="14" max="14" width="62.5703125" customWidth="1"/>
    <col min="15" max="17" width="15.42578125" customWidth="1"/>
    <col min="18" max="21" width="9.140625" customWidth="1"/>
  </cols>
  <sheetData>
    <row r="1" spans="1:17" ht="26.25" x14ac:dyDescent="0.4">
      <c r="B1" s="237" t="s">
        <v>671</v>
      </c>
    </row>
    <row r="2" spans="1:17" ht="17.25" customHeight="1" x14ac:dyDescent="0.4">
      <c r="B2" s="237"/>
    </row>
    <row r="3" spans="1:17" ht="24" customHeight="1" x14ac:dyDescent="0.25">
      <c r="B3" s="1037" t="s">
        <v>672</v>
      </c>
      <c r="C3" s="1038"/>
      <c r="D3" s="1038"/>
      <c r="E3" s="1038"/>
      <c r="F3" s="1038"/>
      <c r="G3" s="1038"/>
      <c r="H3" s="1039"/>
    </row>
    <row r="4" spans="1:17" s="239" customFormat="1" ht="65.25" customHeight="1" x14ac:dyDescent="0.25">
      <c r="B4" s="1014" t="s">
        <v>673</v>
      </c>
      <c r="C4" s="240" t="s">
        <v>674</v>
      </c>
      <c r="D4" s="241" t="s">
        <v>457</v>
      </c>
      <c r="E4" s="242" t="s">
        <v>471</v>
      </c>
      <c r="F4" s="243" t="s">
        <v>330</v>
      </c>
      <c r="G4" s="1016" t="s">
        <v>511</v>
      </c>
      <c r="H4" s="1018" t="s">
        <v>670</v>
      </c>
    </row>
    <row r="5" spans="1:17" s="239" customFormat="1" ht="29.25" customHeight="1" x14ac:dyDescent="0.25">
      <c r="B5" s="1015"/>
      <c r="C5" s="244" t="s">
        <v>675</v>
      </c>
      <c r="D5" s="245" t="s">
        <v>676</v>
      </c>
      <c r="E5" s="246" t="s">
        <v>677</v>
      </c>
      <c r="F5" s="247" t="s">
        <v>678</v>
      </c>
      <c r="G5" s="1017"/>
      <c r="H5" s="1019"/>
    </row>
    <row r="6" spans="1:17" s="256" customFormat="1" ht="49.5" customHeight="1" x14ac:dyDescent="0.25">
      <c r="A6" s="248" t="s">
        <v>679</v>
      </c>
      <c r="B6" s="249" t="str">
        <f>[3]PROG1_ProfViableOrg!A5</f>
        <v>TO DEVELOP A PROFICIENT, VIABLE AND SELF-SUSTIANBALE ENTITY BY 2025</v>
      </c>
      <c r="C6" s="250">
        <v>5</v>
      </c>
      <c r="D6" s="251">
        <v>1</v>
      </c>
      <c r="E6" s="252">
        <v>2</v>
      </c>
      <c r="F6" s="253">
        <v>2</v>
      </c>
      <c r="G6" s="254">
        <v>0</v>
      </c>
      <c r="H6" s="255">
        <f>G6/C6</f>
        <v>0</v>
      </c>
    </row>
    <row r="7" spans="1:17" s="256" customFormat="1" ht="51.75" customHeight="1" x14ac:dyDescent="0.25">
      <c r="A7" s="257" t="s">
        <v>680</v>
      </c>
      <c r="B7" s="258" t="str">
        <f>[3]PROG2_FundInvPromo!A5</f>
        <v>TO MOBILISE FUNDING AND FACILITATE INVESTMENT PROMOTION INTO THE DISTRICT BY 2025</v>
      </c>
      <c r="C7" s="259">
        <v>3</v>
      </c>
      <c r="D7" s="260">
        <v>1</v>
      </c>
      <c r="E7" s="261">
        <v>0</v>
      </c>
      <c r="F7" s="262">
        <v>2</v>
      </c>
      <c r="G7" s="263">
        <v>0</v>
      </c>
      <c r="H7" s="255">
        <f>G7/C7</f>
        <v>0</v>
      </c>
    </row>
    <row r="8" spans="1:17" s="256" customFormat="1" ht="48" customHeight="1" x14ac:dyDescent="0.25">
      <c r="A8" s="257" t="s">
        <v>681</v>
      </c>
      <c r="B8" s="258" t="str">
        <f>[3]PROG3_ViableRurCorr!A5</f>
        <v>TO DEVELOP ECONOMICALLY VIABLE AND SUSTAINABLE RURAL CORRIDORS BY 2025</v>
      </c>
      <c r="C8" s="259">
        <v>24</v>
      </c>
      <c r="D8" s="260">
        <v>11</v>
      </c>
      <c r="E8" s="261">
        <v>2</v>
      </c>
      <c r="F8" s="262">
        <v>11</v>
      </c>
      <c r="G8" s="263">
        <v>5</v>
      </c>
      <c r="H8" s="255">
        <f>G8/C8</f>
        <v>0.20833333333333334</v>
      </c>
    </row>
    <row r="9" spans="1:17" s="256" customFormat="1" ht="51.75" customHeight="1" x14ac:dyDescent="0.25">
      <c r="A9" s="264" t="s">
        <v>682</v>
      </c>
      <c r="B9" s="265" t="s">
        <v>683</v>
      </c>
      <c r="C9" s="259">
        <v>1</v>
      </c>
      <c r="D9" s="260">
        <v>1</v>
      </c>
      <c r="E9" s="261">
        <v>0</v>
      </c>
      <c r="F9" s="262">
        <v>0</v>
      </c>
      <c r="G9" s="263">
        <v>1</v>
      </c>
      <c r="H9" s="255">
        <f>G9/C9</f>
        <v>1</v>
      </c>
    </row>
    <row r="10" spans="1:17" s="266" customFormat="1" ht="26.25" customHeight="1" thickBot="1" x14ac:dyDescent="0.3">
      <c r="B10" s="267" t="s">
        <v>684</v>
      </c>
      <c r="C10" s="268">
        <f>SUM(C6:C9)</f>
        <v>33</v>
      </c>
      <c r="D10" s="269">
        <f t="shared" ref="D10:F10" si="0">SUM(D6:D9)</f>
        <v>14</v>
      </c>
      <c r="E10" s="270">
        <f t="shared" si="0"/>
        <v>4</v>
      </c>
      <c r="F10" s="271">
        <f t="shared" si="0"/>
        <v>15</v>
      </c>
      <c r="G10" s="1040">
        <v>6</v>
      </c>
      <c r="H10" s="1023">
        <f>G10/C10</f>
        <v>0.18181818181818182</v>
      </c>
    </row>
    <row r="11" spans="1:17" s="256" customFormat="1" ht="21" hidden="1" customHeight="1" thickBot="1" x14ac:dyDescent="0.3">
      <c r="B11" s="272"/>
      <c r="C11" s="273"/>
      <c r="D11" s="274"/>
      <c r="E11" s="275"/>
      <c r="F11" s="276"/>
      <c r="G11" s="1041"/>
      <c r="H11" s="1024"/>
    </row>
    <row r="12" spans="1:17" s="256" customFormat="1" ht="21.75" thickTop="1" thickBot="1" x14ac:dyDescent="0.3">
      <c r="B12" s="272"/>
      <c r="C12" s="277"/>
      <c r="D12" s="278">
        <f>D10/C10</f>
        <v>0.42424242424242425</v>
      </c>
      <c r="E12" s="279">
        <f>E10/C10</f>
        <v>0.12121212121212122</v>
      </c>
      <c r="F12" s="280">
        <f>F10/C10</f>
        <v>0.45454545454545453</v>
      </c>
      <c r="G12" s="1042"/>
      <c r="H12" s="1025"/>
      <c r="J12" s="281"/>
    </row>
    <row r="13" spans="1:17" x14ac:dyDescent="0.25">
      <c r="C13" s="282"/>
      <c r="D13" s="1026">
        <f>D12+E12</f>
        <v>0.54545454545454541</v>
      </c>
      <c r="E13" s="1027"/>
    </row>
    <row r="14" spans="1:17" x14ac:dyDescent="0.25">
      <c r="C14" s="282"/>
    </row>
    <row r="15" spans="1:17" ht="15.75" thickBot="1" x14ac:dyDescent="0.3">
      <c r="C15" s="282"/>
    </row>
    <row r="16" spans="1:17" ht="32.25" customHeight="1" thickBot="1" x14ac:dyDescent="0.3">
      <c r="E16" s="239"/>
      <c r="F16" s="1043" t="s">
        <v>685</v>
      </c>
      <c r="G16" s="1044"/>
      <c r="H16" s="1045"/>
      <c r="N16" s="283" t="s">
        <v>673</v>
      </c>
      <c r="O16" s="284" t="s">
        <v>457</v>
      </c>
      <c r="P16" s="285" t="s">
        <v>471</v>
      </c>
      <c r="Q16" s="286" t="s">
        <v>330</v>
      </c>
    </row>
    <row r="17" spans="6:17" ht="30" x14ac:dyDescent="0.25">
      <c r="F17" s="287" t="str">
        <f>D4</f>
        <v>Achieved</v>
      </c>
      <c r="G17" s="1046">
        <f>D12</f>
        <v>0.42424242424242425</v>
      </c>
      <c r="H17" s="1047"/>
      <c r="N17" s="288" t="str">
        <f>B6</f>
        <v>TO DEVELOP A PROFICIENT, VIABLE AND SELF-SUSTIANBALE ENTITY BY 2025</v>
      </c>
      <c r="O17" s="289">
        <f>D6/C6</f>
        <v>0.2</v>
      </c>
      <c r="P17" s="290">
        <f>E6/C6</f>
        <v>0.4</v>
      </c>
      <c r="Q17" s="291">
        <f>F6/C6</f>
        <v>0.4</v>
      </c>
    </row>
    <row r="18" spans="6:17" ht="30" x14ac:dyDescent="0.25">
      <c r="F18" s="287" t="s">
        <v>471</v>
      </c>
      <c r="G18" s="1046">
        <f>E12</f>
        <v>0.12121212121212122</v>
      </c>
      <c r="H18" s="1047"/>
      <c r="N18" s="292" t="str">
        <f>B7</f>
        <v>TO MOBILISE FUNDING AND FACILITATE INVESTMENT PROMOTION INTO THE DISTRICT BY 2025</v>
      </c>
      <c r="O18" s="289">
        <f>D7/C7</f>
        <v>0.33333333333333331</v>
      </c>
      <c r="P18" s="290">
        <f t="shared" ref="P18:P20" si="1">E7/C7</f>
        <v>0</v>
      </c>
      <c r="Q18" s="291">
        <f t="shared" ref="Q18:Q20" si="2">F7/C7</f>
        <v>0.66666666666666663</v>
      </c>
    </row>
    <row r="19" spans="6:17" ht="30.75" thickBot="1" x14ac:dyDescent="0.3">
      <c r="F19" s="293" t="s">
        <v>330</v>
      </c>
      <c r="G19" s="1048">
        <f>F12</f>
        <v>0.45454545454545453</v>
      </c>
      <c r="H19" s="1049"/>
      <c r="N19" s="292" t="str">
        <f>B8</f>
        <v>TO DEVELOP ECONOMICALLY VIABLE AND SUSTAINABLE RURAL CORRIDORS BY 2025</v>
      </c>
      <c r="O19" s="289">
        <f>D8/C8</f>
        <v>0.45833333333333331</v>
      </c>
      <c r="P19" s="290">
        <f t="shared" si="1"/>
        <v>8.3333333333333329E-2</v>
      </c>
      <c r="Q19" s="291">
        <f t="shared" si="2"/>
        <v>0.45833333333333331</v>
      </c>
    </row>
    <row r="20" spans="6:17" ht="30" x14ac:dyDescent="0.25">
      <c r="F20" s="239"/>
      <c r="G20" s="294"/>
      <c r="H20" s="295"/>
      <c r="N20" s="292" t="str">
        <f>B9</f>
        <v>TO SUPORT IMPLEMENTATION OF INFRASTRUCTURE PROJECTS IN THE DISTRICT BY 2025</v>
      </c>
      <c r="O20" s="289">
        <f t="shared" ref="O20" si="3">D9/C9</f>
        <v>1</v>
      </c>
      <c r="P20" s="290">
        <f t="shared" si="1"/>
        <v>0</v>
      </c>
      <c r="Q20" s="291">
        <f t="shared" si="2"/>
        <v>0</v>
      </c>
    </row>
    <row r="21" spans="6:17" ht="28.5" customHeight="1" thickBot="1" x14ac:dyDescent="0.3">
      <c r="F21"/>
    </row>
    <row r="22" spans="6:17" ht="24.75" customHeight="1" x14ac:dyDescent="0.25">
      <c r="F22" s="296" t="s">
        <v>686</v>
      </c>
      <c r="G22" s="297"/>
      <c r="H22" s="298"/>
    </row>
    <row r="23" spans="6:17" ht="35.25" customHeight="1" x14ac:dyDescent="0.25">
      <c r="F23" s="299" t="s">
        <v>687</v>
      </c>
      <c r="G23" s="300">
        <v>5</v>
      </c>
      <c r="H23" s="301">
        <f>G23/C10</f>
        <v>0.15151515151515152</v>
      </c>
    </row>
    <row r="24" spans="6:17" ht="38.25" customHeight="1" thickBot="1" x14ac:dyDescent="0.3">
      <c r="F24" s="302" t="s">
        <v>688</v>
      </c>
      <c r="G24" s="303">
        <v>28</v>
      </c>
      <c r="H24" s="304">
        <f>G24/C10</f>
        <v>0.84848484848484851</v>
      </c>
    </row>
    <row r="25" spans="6:17" x14ac:dyDescent="0.25">
      <c r="F25" s="239"/>
      <c r="H25" s="305"/>
      <c r="N25" s="1"/>
      <c r="O25" s="1"/>
      <c r="P25" s="1"/>
      <c r="Q25" s="1"/>
    </row>
    <row r="26" spans="6:17" x14ac:dyDescent="0.25">
      <c r="F26" s="239"/>
    </row>
    <row r="27" spans="6:17" x14ac:dyDescent="0.25">
      <c r="F27" s="239"/>
      <c r="H27" s="305"/>
    </row>
  </sheetData>
  <mergeCells count="11">
    <mergeCell ref="D13:E13"/>
    <mergeCell ref="F16:H16"/>
    <mergeCell ref="G17:H17"/>
    <mergeCell ref="G18:H18"/>
    <mergeCell ref="G19:H19"/>
    <mergeCell ref="B3:H3"/>
    <mergeCell ref="B4:B5"/>
    <mergeCell ref="G4:G5"/>
    <mergeCell ref="H4:H5"/>
    <mergeCell ref="G10:G12"/>
    <mergeCell ref="H10:H12"/>
  </mergeCells>
  <pageMargins left="0.70866141732283472" right="0.70866141732283472" top="0.74803149606299213" bottom="0.74803149606299213" header="0.31496062992125984" footer="0.31496062992125984"/>
  <pageSetup paperSize="8" scale="57" fitToHeight="2" orientation="landscape" r:id="rId1"/>
  <headerFooter>
    <oddHeader>Page &amp;P of &amp;N</oddHeader>
    <oddFooter>&amp;Z&amp;F</oddFooter>
  </headerFooter>
  <colBreaks count="1" manualBreakCount="1">
    <brk id="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C507C-E61F-4365-B7AD-977693223C0A}">
  <sheetPr>
    <pageSetUpPr fitToPage="1"/>
  </sheetPr>
  <dimension ref="A1:Q29"/>
  <sheetViews>
    <sheetView topLeftCell="A22" zoomScale="75" zoomScaleNormal="75" zoomScaleSheetLayoutView="80" workbookViewId="0">
      <selection activeCell="J3" sqref="J3"/>
    </sheetView>
  </sheetViews>
  <sheetFormatPr defaultRowHeight="15" x14ac:dyDescent="0.25"/>
  <cols>
    <col min="1" max="1" width="40.42578125" customWidth="1"/>
    <col min="2" max="2" width="16.28515625" style="238" hidden="1" customWidth="1"/>
    <col min="3" max="3" width="17.28515625" style="238" customWidth="1"/>
    <col min="4" max="4" width="16.7109375" style="238" customWidth="1"/>
    <col min="5" max="5" width="17.28515625" style="238" customWidth="1"/>
    <col min="6" max="6" width="17.7109375" style="238" customWidth="1"/>
    <col min="7" max="7" width="16.85546875" customWidth="1"/>
    <col min="8" max="8" width="16" customWidth="1"/>
    <col min="10" max="10" width="30" bestFit="1" customWidth="1"/>
    <col min="13" max="13" width="17.7109375" customWidth="1"/>
    <col min="14" max="14" width="62.5703125" customWidth="1"/>
    <col min="15" max="17" width="15.42578125" customWidth="1"/>
    <col min="18" max="21" width="9.140625" customWidth="1"/>
  </cols>
  <sheetData>
    <row r="1" spans="1:10" s="371" customFormat="1" ht="27" thickBot="1" x14ac:dyDescent="0.45">
      <c r="A1" s="237" t="s">
        <v>723</v>
      </c>
      <c r="B1" s="370"/>
      <c r="C1" s="370"/>
      <c r="D1" s="370"/>
      <c r="E1" s="370"/>
      <c r="F1" s="370"/>
      <c r="G1" s="1056">
        <f>D13</f>
        <v>0.71232876712328763</v>
      </c>
      <c r="H1" s="1057"/>
    </row>
    <row r="2" spans="1:10" ht="17.25" customHeight="1" x14ac:dyDescent="0.4">
      <c r="A2" s="237"/>
    </row>
    <row r="3" spans="1:10" ht="24" customHeight="1" x14ac:dyDescent="0.25">
      <c r="A3" s="1037" t="s">
        <v>724</v>
      </c>
      <c r="B3" s="1038"/>
      <c r="C3" s="1038"/>
      <c r="D3" s="1038"/>
      <c r="E3" s="1038"/>
      <c r="F3" s="1038"/>
      <c r="G3" s="1038"/>
      <c r="H3" s="1039"/>
    </row>
    <row r="4" spans="1:10" s="239" customFormat="1" ht="39.75" customHeight="1" x14ac:dyDescent="0.25">
      <c r="A4" s="1014" t="s">
        <v>673</v>
      </c>
      <c r="B4" s="240" t="s">
        <v>674</v>
      </c>
      <c r="C4" s="1058" t="s">
        <v>725</v>
      </c>
      <c r="D4" s="372" t="s">
        <v>726</v>
      </c>
      <c r="E4" s="373" t="s">
        <v>727</v>
      </c>
      <c r="F4" s="374" t="s">
        <v>728</v>
      </c>
      <c r="G4" s="1060" t="s">
        <v>729</v>
      </c>
      <c r="H4" s="1061"/>
    </row>
    <row r="5" spans="1:10" s="239" customFormat="1" x14ac:dyDescent="0.25">
      <c r="A5" s="1015"/>
      <c r="B5" s="244" t="s">
        <v>730</v>
      </c>
      <c r="C5" s="1059"/>
      <c r="D5" s="245" t="s">
        <v>676</v>
      </c>
      <c r="E5" s="246" t="s">
        <v>731</v>
      </c>
      <c r="F5" s="375" t="s">
        <v>732</v>
      </c>
      <c r="G5" s="1062"/>
      <c r="H5" s="1063"/>
    </row>
    <row r="6" spans="1:10" ht="39.950000000000003" customHeight="1" x14ac:dyDescent="0.25">
      <c r="A6" s="376" t="str">
        <f>[4]Goal1_ViableOrg!A3</f>
        <v>PROG_1:
TO DEVELOP A PROFICIENT AND VIABLE ORGANISATION</v>
      </c>
      <c r="B6" s="377">
        <v>18</v>
      </c>
      <c r="C6" s="378">
        <v>20</v>
      </c>
      <c r="D6" s="379">
        <v>13</v>
      </c>
      <c r="E6" s="380">
        <v>5</v>
      </c>
      <c r="F6" s="381">
        <v>2</v>
      </c>
      <c r="G6" s="382">
        <v>6</v>
      </c>
      <c r="H6" s="383">
        <f t="shared" ref="H6:H11" si="0">G6/D6</f>
        <v>0.46153846153846156</v>
      </c>
    </row>
    <row r="7" spans="1:10" ht="39.950000000000003" customHeight="1" x14ac:dyDescent="0.25">
      <c r="A7" s="384" t="str">
        <f>[4]Goal2_ViableEco!A3</f>
        <v>PROG_2:
TO DEVELOP VIABLE AND SUSTAINABLE RURAL ECONOMIES</v>
      </c>
      <c r="B7" s="385">
        <v>16</v>
      </c>
      <c r="C7" s="386">
        <f>COUNTA([5]PROG2_ViableEco!H4:H19)</f>
        <v>16</v>
      </c>
      <c r="D7" s="387">
        <v>12</v>
      </c>
      <c r="E7" s="388">
        <v>0</v>
      </c>
      <c r="F7" s="389">
        <v>4</v>
      </c>
      <c r="G7" s="390">
        <v>5</v>
      </c>
      <c r="H7" s="391">
        <f t="shared" si="0"/>
        <v>0.41666666666666669</v>
      </c>
    </row>
    <row r="8" spans="1:10" ht="39.950000000000003" customHeight="1" x14ac:dyDescent="0.25">
      <c r="A8" s="384" t="str">
        <f>[4]Goal3_InvPromo!A3</f>
        <v xml:space="preserve">PROG_3:
TO FACILITATE INVESTMENT PROMOTION AND SMME DEVELOPMENT </v>
      </c>
      <c r="B8" s="385">
        <v>13</v>
      </c>
      <c r="C8" s="386">
        <v>13</v>
      </c>
      <c r="D8" s="387">
        <v>9</v>
      </c>
      <c r="E8" s="388">
        <v>1</v>
      </c>
      <c r="F8" s="389">
        <v>3</v>
      </c>
      <c r="G8" s="390">
        <v>2</v>
      </c>
      <c r="H8" s="391">
        <f t="shared" si="0"/>
        <v>0.22222222222222221</v>
      </c>
    </row>
    <row r="9" spans="1:10" ht="39.950000000000003" customHeight="1" x14ac:dyDescent="0.25">
      <c r="A9" s="384" t="str">
        <f>[4]Goal4_SkillsDev!A3</f>
        <v>PROG_ 4:
TO FACILITATE DEVELOPMENT OF SECTOR-SPECIFIC SCARCE SKILLS</v>
      </c>
      <c r="B9" s="385">
        <v>8</v>
      </c>
      <c r="C9" s="386">
        <f>COUNTA([5]PROG4_SkillsDev!H4:H12)</f>
        <v>9</v>
      </c>
      <c r="D9" s="387">
        <v>9</v>
      </c>
      <c r="E9" s="388">
        <v>0</v>
      </c>
      <c r="F9" s="389">
        <v>0</v>
      </c>
      <c r="G9" s="390">
        <v>2</v>
      </c>
      <c r="H9" s="391">
        <f t="shared" si="0"/>
        <v>0.22222222222222221</v>
      </c>
    </row>
    <row r="10" spans="1:10" ht="39.950000000000003" customHeight="1" x14ac:dyDescent="0.25">
      <c r="A10" s="392" t="str">
        <f>[4]Goal5_StakEng!A3</f>
        <v>PROG_ 5:
TO DEVELOP STRONG STAKEHOLDER AND COMMUNITY ENGAGEMENT FOR PUBLIC ACCOUNTABILITY</v>
      </c>
      <c r="B10" s="377">
        <v>14</v>
      </c>
      <c r="C10" s="378">
        <f>COUNTA([5]PROG5_StakEng!H4:H18)</f>
        <v>15</v>
      </c>
      <c r="D10" s="379">
        <v>9</v>
      </c>
      <c r="E10" s="380">
        <v>1</v>
      </c>
      <c r="F10" s="381">
        <v>5</v>
      </c>
      <c r="G10" s="382">
        <v>2</v>
      </c>
      <c r="H10" s="383">
        <f t="shared" si="0"/>
        <v>0.22222222222222221</v>
      </c>
    </row>
    <row r="11" spans="1:10" s="239" customFormat="1" ht="26.25" customHeight="1" thickBot="1" x14ac:dyDescent="0.3">
      <c r="A11" s="12" t="s">
        <v>684</v>
      </c>
      <c r="B11" s="393">
        <f t="shared" ref="B11:G11" si="1">SUM(B6:B10)</f>
        <v>69</v>
      </c>
      <c r="C11" s="394">
        <f t="shared" si="1"/>
        <v>73</v>
      </c>
      <c r="D11" s="395">
        <f t="shared" si="1"/>
        <v>52</v>
      </c>
      <c r="E11" s="396">
        <f t="shared" si="1"/>
        <v>7</v>
      </c>
      <c r="F11" s="397">
        <f t="shared" si="1"/>
        <v>14</v>
      </c>
      <c r="G11" s="1050">
        <f t="shared" si="1"/>
        <v>17</v>
      </c>
      <c r="H11" s="1053">
        <f t="shared" si="0"/>
        <v>0.32692307692307693</v>
      </c>
    </row>
    <row r="12" spans="1:10" ht="21" hidden="1" customHeight="1" thickTop="1" x14ac:dyDescent="0.3">
      <c r="A12" s="13"/>
      <c r="B12" s="398"/>
      <c r="C12" s="399"/>
      <c r="D12" s="400"/>
      <c r="E12" s="401"/>
      <c r="F12" s="402"/>
      <c r="G12" s="1051"/>
      <c r="H12" s="1054"/>
    </row>
    <row r="13" spans="1:10" ht="21.75" thickTop="1" thickBot="1" x14ac:dyDescent="0.35">
      <c r="A13" s="13"/>
      <c r="B13" s="403">
        <v>1</v>
      </c>
      <c r="C13" s="404">
        <v>1</v>
      </c>
      <c r="D13" s="405">
        <f>D11/C11</f>
        <v>0.71232876712328763</v>
      </c>
      <c r="E13" s="406">
        <f>E11/C11</f>
        <v>9.5890410958904104E-2</v>
      </c>
      <c r="F13" s="407">
        <f>F11/C11</f>
        <v>0.19178082191780821</v>
      </c>
      <c r="G13" s="1052"/>
      <c r="H13" s="1055"/>
      <c r="J13" s="408"/>
    </row>
    <row r="14" spans="1:10" ht="45" customHeight="1" thickBot="1" x14ac:dyDescent="0.35">
      <c r="B14" s="282"/>
      <c r="C14" s="282"/>
      <c r="D14" s="1065">
        <f>(D11+E11)/C11</f>
        <v>0.80821917808219179</v>
      </c>
      <c r="E14" s="1066"/>
    </row>
    <row r="15" spans="1:10" x14ac:dyDescent="0.25">
      <c r="B15" s="282"/>
      <c r="C15" s="282"/>
    </row>
    <row r="16" spans="1:10" ht="15.75" thickBot="1" x14ac:dyDescent="0.3">
      <c r="B16" s="282"/>
      <c r="C16" s="282"/>
    </row>
    <row r="17" spans="5:17" ht="32.25" customHeight="1" x14ac:dyDescent="0.25">
      <c r="E17" s="239"/>
      <c r="F17" s="1043" t="str">
        <f>A1</f>
        <v>Summary  Performance _ Annual Targets  _ 2019-2020</v>
      </c>
      <c r="G17" s="1044"/>
      <c r="H17" s="1045"/>
    </row>
    <row r="18" spans="5:17" ht="33" customHeight="1" x14ac:dyDescent="0.25">
      <c r="F18" s="409" t="str">
        <f>D4</f>
        <v>Achieved for the year</v>
      </c>
      <c r="G18" s="1067">
        <f>D13</f>
        <v>0.71232876712328763</v>
      </c>
      <c r="H18" s="1068"/>
    </row>
    <row r="19" spans="5:17" ht="31.5" customHeight="1" x14ac:dyDescent="0.25">
      <c r="F19" s="409" t="str">
        <f>E4</f>
        <v>Part Achieved for the Year</v>
      </c>
      <c r="G19" s="1067">
        <f>E13</f>
        <v>9.5890410958904104E-2</v>
      </c>
      <c r="H19" s="1068"/>
    </row>
    <row r="20" spans="5:17" ht="33.75" customHeight="1" thickBot="1" x14ac:dyDescent="0.3">
      <c r="F20" s="410" t="str">
        <f>F4</f>
        <v xml:space="preserve">Not Achieved for the Year </v>
      </c>
      <c r="G20" s="1069">
        <f>F13</f>
        <v>0.19178082191780821</v>
      </c>
      <c r="H20" s="1070"/>
    </row>
    <row r="21" spans="5:17" ht="28.5" customHeight="1" thickBot="1" x14ac:dyDescent="0.3">
      <c r="F21"/>
      <c r="N21" s="283" t="s">
        <v>673</v>
      </c>
      <c r="O21" s="284" t="s">
        <v>457</v>
      </c>
      <c r="P21" s="285" t="s">
        <v>471</v>
      </c>
      <c r="Q21" s="286" t="s">
        <v>330</v>
      </c>
    </row>
    <row r="22" spans="5:17" ht="43.5" customHeight="1" x14ac:dyDescent="0.25">
      <c r="F22" s="411" t="s">
        <v>733</v>
      </c>
      <c r="G22" s="412"/>
      <c r="H22" s="413"/>
      <c r="N22" s="414" t="str">
        <f>A6</f>
        <v>PROG_1:
TO DEVELOP A PROFICIENT AND VIABLE ORGANISATION</v>
      </c>
      <c r="O22" s="289">
        <f>D6/C6</f>
        <v>0.65</v>
      </c>
      <c r="P22" s="290">
        <f>E6/C6</f>
        <v>0.25</v>
      </c>
      <c r="Q22" s="291">
        <f>F6/C6</f>
        <v>0.1</v>
      </c>
    </row>
    <row r="23" spans="5:17" ht="30" x14ac:dyDescent="0.25">
      <c r="F23" s="415" t="s">
        <v>687</v>
      </c>
      <c r="G23" s="300">
        <v>12</v>
      </c>
      <c r="H23" s="416">
        <f>G23/F25</f>
        <v>0.16438356164383561</v>
      </c>
      <c r="N23" s="417" t="str">
        <f>A7</f>
        <v>PROG_2:
TO DEVELOP VIABLE AND SUSTAINABLE RURAL ECONOMIES</v>
      </c>
      <c r="O23" s="418">
        <f>D7/C7</f>
        <v>0.75</v>
      </c>
      <c r="P23" s="419">
        <f>E7/C7</f>
        <v>0</v>
      </c>
      <c r="Q23" s="420">
        <f>F7/C7</f>
        <v>0.25</v>
      </c>
    </row>
    <row r="24" spans="5:17" ht="38.25" x14ac:dyDescent="0.25">
      <c r="F24" s="421" t="s">
        <v>688</v>
      </c>
      <c r="G24" s="422">
        <f>C11-G23</f>
        <v>61</v>
      </c>
      <c r="H24" s="423">
        <f>G24/F25</f>
        <v>0.83561643835616439</v>
      </c>
      <c r="N24" s="417" t="str">
        <f>A8</f>
        <v xml:space="preserve">PROG_3:
TO FACILITATE INVESTMENT PROMOTION AND SMME DEVELOPMENT </v>
      </c>
      <c r="O24" s="418">
        <f>D8/C8</f>
        <v>0.69230769230769229</v>
      </c>
      <c r="P24" s="419">
        <f>E8/C8</f>
        <v>7.6923076923076927E-2</v>
      </c>
      <c r="Q24" s="420">
        <f>F8/C8</f>
        <v>0.23076923076923078</v>
      </c>
    </row>
    <row r="25" spans="5:17" ht="52.5" customHeight="1" x14ac:dyDescent="0.25">
      <c r="E25"/>
      <c r="F25" s="1071">
        <f>G23+G24</f>
        <v>73</v>
      </c>
      <c r="G25" s="1071"/>
      <c r="H25" s="1071"/>
      <c r="N25" s="417" t="str">
        <f>A9</f>
        <v>PROG_ 4:
TO FACILITATE DEVELOPMENT OF SECTOR-SPECIFIC SCARCE SKILLS</v>
      </c>
      <c r="O25" s="418">
        <f>D9/C9</f>
        <v>1</v>
      </c>
      <c r="P25" s="419">
        <f>E9/C9</f>
        <v>0</v>
      </c>
      <c r="Q25" s="420">
        <f>F9/C9</f>
        <v>0</v>
      </c>
    </row>
    <row r="26" spans="5:17" ht="39" thickBot="1" x14ac:dyDescent="0.3">
      <c r="F26" s="1064"/>
      <c r="G26" s="1064"/>
      <c r="H26" s="1064"/>
      <c r="N26" s="424" t="str">
        <f>A10</f>
        <v>PROG_ 5:
TO DEVELOP STRONG STAKEHOLDER AND COMMUNITY ENGAGEMENT FOR PUBLIC ACCOUNTABILITY</v>
      </c>
      <c r="O26" s="425">
        <f>D10/C10</f>
        <v>0.6</v>
      </c>
      <c r="P26" s="426">
        <f>E10/C10</f>
        <v>6.6666666666666666E-2</v>
      </c>
      <c r="Q26" s="427">
        <f>F10/C10</f>
        <v>0.33333333333333331</v>
      </c>
    </row>
    <row r="27" spans="5:17" x14ac:dyDescent="0.25">
      <c r="F27" s="239"/>
      <c r="H27" s="305"/>
      <c r="N27" s="1"/>
      <c r="O27" s="1"/>
      <c r="P27" s="1"/>
      <c r="Q27" s="1"/>
    </row>
    <row r="28" spans="5:17" x14ac:dyDescent="0.25">
      <c r="F28" s="239"/>
    </row>
    <row r="29" spans="5:17" x14ac:dyDescent="0.25">
      <c r="F29" s="239"/>
      <c r="H29" s="305"/>
    </row>
  </sheetData>
  <mergeCells count="14">
    <mergeCell ref="F26:H26"/>
    <mergeCell ref="D14:E14"/>
    <mergeCell ref="F17:H17"/>
    <mergeCell ref="G18:H18"/>
    <mergeCell ref="G19:H19"/>
    <mergeCell ref="G20:H20"/>
    <mergeCell ref="F25:H25"/>
    <mergeCell ref="G11:G13"/>
    <mergeCell ref="H11:H13"/>
    <mergeCell ref="G1:H1"/>
    <mergeCell ref="A3:H3"/>
    <mergeCell ref="A4:A5"/>
    <mergeCell ref="C4:C5"/>
    <mergeCell ref="G4:H5"/>
  </mergeCells>
  <pageMargins left="0.70866141732283472" right="0.70866141732283472" top="0.74803149606299213" bottom="0.74803149606299213" header="0.31496062992125984" footer="0.31496062992125984"/>
  <pageSetup paperSize="8" scale="59" fitToHeight="2" orientation="landscape" r:id="rId1"/>
  <headerFooter>
    <oddFooter>&amp;F</oddFooter>
  </headerFooter>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Cover_APR</vt:lpstr>
      <vt:lpstr>StratSummary</vt:lpstr>
      <vt:lpstr>SG1-2022_Audited (2)</vt:lpstr>
      <vt:lpstr>SG2-2022_Audited (2)</vt:lpstr>
      <vt:lpstr>SG3-2022_Audited (2)</vt:lpstr>
      <vt:lpstr>SG4-2022_Audited (2)</vt:lpstr>
      <vt:lpstr>Summary_APR_2022</vt:lpstr>
      <vt:lpstr>Summary_APR_2021</vt:lpstr>
      <vt:lpstr>Summary_APR_2020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Flicker Tiso</dc:creator>
  <cp:lastModifiedBy>Flicker Tiso</cp:lastModifiedBy>
  <cp:lastPrinted>2022-11-25T11:20:01Z</cp:lastPrinted>
  <dcterms:created xsi:type="dcterms:W3CDTF">2022-02-02T15:18:58Z</dcterms:created>
  <dcterms:modified xsi:type="dcterms:W3CDTF">2022-11-25T12:46:35Z</dcterms:modified>
</cp:coreProperties>
</file>